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MICHELLE DELARRUE\2021\MIR-2021\Reporte de Indicadores Trimestrales MIR 2021 y MdV\Reporte 4° Trimestre 2021\"/>
    </mc:Choice>
  </mc:AlternateContent>
  <xr:revisionPtr revIDLastSave="0" documentId="13_ncr:1_{1DD29C05-0DC9-4530-9F64-457BBFDA171B}" xr6:coauthVersionLast="47" xr6:coauthVersionMax="47" xr10:uidLastSave="{00000000-0000-0000-0000-000000000000}"/>
  <bookViews>
    <workbookView xWindow="-120" yWindow="-120" windowWidth="20730" windowHeight="11160" xr2:uid="{24732525-8FAB-42ED-8B07-C43A2440B7AB}"/>
  </bookViews>
  <sheets>
    <sheet name="Hoja1" sheetId="1" r:id="rId1"/>
    <sheet name="Hoja2" sheetId="2" r:id="rId2"/>
  </sheets>
  <definedNames>
    <definedName name="_xlnm._FilterDatabase" localSheetId="0" hidden="1">Hoja1!$A$1:$N$64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 l="1"/>
  <c r="M70" i="1" s="1"/>
  <c r="L53" i="1"/>
  <c r="L70" i="1" s="1"/>
  <c r="L26" i="1" l="1"/>
  <c r="I29" i="1"/>
  <c r="L29" i="1" l="1"/>
  <c r="I7" i="1"/>
  <c r="L7" i="1" s="1"/>
  <c r="M3" i="1"/>
  <c r="M8" i="1"/>
  <c r="M6" i="1"/>
  <c r="E21" i="2"/>
  <c r="G21" i="2" s="1"/>
  <c r="E19" i="2"/>
  <c r="F19" i="2"/>
  <c r="G23" i="2"/>
  <c r="F12" i="2"/>
  <c r="E12" i="2"/>
  <c r="D12" i="2"/>
  <c r="G11" i="2"/>
  <c r="D24" i="2" s="1"/>
  <c r="G10" i="2"/>
  <c r="G9" i="2"/>
  <c r="E22" i="2" s="1"/>
  <c r="G22" i="2" s="1"/>
  <c r="G8" i="2"/>
  <c r="G7" i="2"/>
  <c r="E20" i="2" s="1"/>
  <c r="G20" i="2" s="1"/>
  <c r="G6" i="2"/>
  <c r="D19" i="2" s="1"/>
  <c r="M13" i="1"/>
  <c r="M14" i="1"/>
  <c r="L13" i="1"/>
  <c r="L14" i="1"/>
  <c r="M11" i="1"/>
  <c r="L11" i="1"/>
  <c r="M10" i="1"/>
  <c r="L10" i="1"/>
  <c r="M9" i="1"/>
  <c r="L9" i="1"/>
  <c r="L2" i="1"/>
  <c r="L5" i="1"/>
  <c r="M12" i="1"/>
  <c r="L12" i="1"/>
  <c r="L8" i="1"/>
  <c r="L6" i="1"/>
  <c r="L3" i="1"/>
  <c r="M2" i="1"/>
  <c r="M5" i="1"/>
  <c r="M4" i="1"/>
  <c r="L4" i="1"/>
  <c r="E24" i="2" l="1"/>
  <c r="G24" i="2"/>
  <c r="M7" i="1"/>
  <c r="G19" i="2"/>
  <c r="G12" i="2"/>
  <c r="E25" i="2" l="1"/>
  <c r="F25" i="2"/>
  <c r="D25" i="2"/>
  <c r="G25" i="2" s="1"/>
  <c r="I64" i="1"/>
  <c r="F64" i="1"/>
  <c r="C63" i="1"/>
  <c r="C64" i="1"/>
  <c r="C61" i="1"/>
  <c r="I63" i="1"/>
  <c r="M63" i="1" s="1"/>
  <c r="I62" i="1"/>
  <c r="F62" i="1"/>
  <c r="C62" i="1"/>
  <c r="L61" i="1"/>
  <c r="I54" i="1"/>
  <c r="F54" i="1"/>
  <c r="C54" i="1"/>
  <c r="I53" i="1"/>
  <c r="M62" i="1" l="1"/>
  <c r="L64" i="1"/>
  <c r="L62" i="1"/>
  <c r="M54" i="1"/>
  <c r="L63" i="1"/>
  <c r="M64" i="1"/>
  <c r="L54" i="1"/>
  <c r="F53" i="1"/>
  <c r="C53" i="1"/>
  <c r="I52" i="1"/>
  <c r="F52" i="1"/>
  <c r="M61" i="1"/>
  <c r="I61" i="1"/>
  <c r="F61" i="1"/>
  <c r="I60" i="1"/>
  <c r="F60" i="1"/>
  <c r="I59" i="1"/>
  <c r="F59" i="1"/>
  <c r="C59" i="1"/>
  <c r="M60" i="1" l="1"/>
  <c r="M52" i="1"/>
  <c r="M59" i="1"/>
  <c r="L59" i="1"/>
  <c r="I56" i="1"/>
  <c r="I57" i="1"/>
  <c r="I58" i="1"/>
  <c r="C57" i="1"/>
  <c r="C58" i="1"/>
  <c r="F56" i="1"/>
  <c r="F57" i="1"/>
  <c r="F58" i="1"/>
  <c r="C56" i="1"/>
  <c r="I55" i="1"/>
  <c r="F55" i="1"/>
  <c r="C55" i="1"/>
  <c r="L55" i="1" l="1"/>
  <c r="M55" i="1"/>
  <c r="M56" i="1"/>
  <c r="M58" i="1"/>
  <c r="L56" i="1"/>
  <c r="M57" i="1"/>
  <c r="L58" i="1"/>
  <c r="L57" i="1"/>
  <c r="I51" i="1" l="1"/>
  <c r="F51" i="1"/>
  <c r="C51" i="1"/>
  <c r="M50" i="1"/>
  <c r="M41" i="1"/>
  <c r="M25" i="1"/>
  <c r="L50" i="1"/>
  <c r="L41" i="1"/>
  <c r="L25" i="1"/>
  <c r="M51" i="1" l="1"/>
  <c r="L51" i="1"/>
  <c r="C44" i="1"/>
  <c r="I49" i="1"/>
  <c r="I48" i="1"/>
  <c r="I47" i="1"/>
  <c r="I46" i="1"/>
  <c r="I45" i="1"/>
  <c r="I44" i="1"/>
  <c r="I43" i="1"/>
  <c r="F49" i="1"/>
  <c r="F48" i="1"/>
  <c r="F47" i="1"/>
  <c r="F46" i="1"/>
  <c r="F45" i="1"/>
  <c r="F44" i="1"/>
  <c r="F43" i="1"/>
  <c r="C45" i="1"/>
  <c r="C46" i="1"/>
  <c r="C47" i="1"/>
  <c r="C48" i="1"/>
  <c r="C49" i="1"/>
  <c r="C43" i="1"/>
  <c r="I42" i="1"/>
  <c r="L42" i="1" s="1"/>
  <c r="L40" i="1"/>
  <c r="M40" i="1"/>
  <c r="M39" i="1"/>
  <c r="L39" i="1"/>
  <c r="M38" i="1"/>
  <c r="L38" i="1"/>
  <c r="L36" i="1"/>
  <c r="M37" i="1"/>
  <c r="L37" i="1"/>
  <c r="M46" i="1" l="1"/>
  <c r="M43" i="1"/>
  <c r="L44" i="1"/>
  <c r="M44" i="1"/>
  <c r="M47" i="1"/>
  <c r="L43" i="1"/>
  <c r="M45" i="1"/>
  <c r="L46" i="1"/>
  <c r="M49" i="1"/>
  <c r="L49" i="1"/>
  <c r="L45" i="1"/>
  <c r="L47" i="1"/>
  <c r="M42" i="1"/>
  <c r="L48" i="1"/>
  <c r="M48" i="1"/>
  <c r="F37" i="1"/>
  <c r="M36" i="1" l="1"/>
  <c r="M35" i="1"/>
  <c r="L35" i="1"/>
  <c r="M34" i="1"/>
  <c r="L34" i="1"/>
  <c r="M33" i="1"/>
  <c r="L33" i="1"/>
  <c r="I32" i="1"/>
  <c r="L32" i="1" s="1"/>
  <c r="F32" i="1"/>
  <c r="I31" i="1"/>
  <c r="F31" i="1"/>
  <c r="C31" i="1"/>
  <c r="I15" i="1"/>
  <c r="F15" i="1"/>
  <c r="C15" i="1"/>
  <c r="L30" i="1"/>
  <c r="L28" i="1"/>
  <c r="L27" i="1"/>
  <c r="M26" i="1"/>
  <c r="I26" i="1"/>
  <c r="F26" i="1"/>
  <c r="C26" i="1"/>
  <c r="I24" i="1"/>
  <c r="I23" i="1"/>
  <c r="F23" i="1"/>
  <c r="I22" i="1"/>
  <c r="F22" i="1"/>
  <c r="F24" i="1"/>
  <c r="I21" i="1"/>
  <c r="F21" i="1"/>
  <c r="L31" i="1" l="1"/>
  <c r="M31" i="1"/>
  <c r="M32" i="1"/>
  <c r="I20" i="1"/>
  <c r="F20" i="1"/>
  <c r="L18" i="1"/>
  <c r="I19" i="1" l="1"/>
  <c r="F19" i="1"/>
  <c r="M17" i="1"/>
  <c r="M18" i="1"/>
  <c r="M20" i="1"/>
  <c r="M21" i="1"/>
  <c r="M22" i="1"/>
  <c r="M23" i="1"/>
  <c r="M24" i="1"/>
  <c r="L17" i="1"/>
  <c r="L20" i="1"/>
  <c r="L21" i="1"/>
  <c r="L22" i="1"/>
  <c r="L23" i="1"/>
  <c r="L24" i="1"/>
  <c r="M16" i="1"/>
  <c r="L16" i="1"/>
  <c r="M19" i="1" l="1"/>
  <c r="L19" i="1"/>
  <c r="M15" i="1" l="1"/>
  <c r="L15" i="1"/>
  <c r="F13" i="1" l="1"/>
  <c r="C13" i="1"/>
  <c r="F12" i="1"/>
  <c r="C12" i="1"/>
  <c r="F8" i="1"/>
  <c r="F6" i="1"/>
</calcChain>
</file>

<file path=xl/sharedStrings.xml><?xml version="1.0" encoding="utf-8"?>
<sst xmlns="http://schemas.openxmlformats.org/spreadsheetml/2006/main" count="231" uniqueCount="148">
  <si>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</si>
  <si>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</si>
  <si>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</si>
  <si>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</si>
  <si>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</si>
  <si>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</si>
  <si>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</si>
  <si>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</si>
  <si>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</si>
  <si>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</si>
  <si>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</si>
  <si>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</si>
  <si>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</si>
  <si>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</si>
  <si>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E-003 - Investigación científica, desarrollo e innovación</t>
  </si>
  <si>
    <t>Porcentaje de proyectos de investigación científica, tecnológica y para el beneficio de la sociedad y el ambiente articulados</t>
  </si>
  <si>
    <t>Tasa de Variación del Pilar de Innovación del Índice de Competitividad Global del FEM</t>
  </si>
  <si>
    <t>Porcentaje de proyectos interinstitucionales generados</t>
  </si>
  <si>
    <t>Proporción de publicaciones arbitradas por investigador de los Centros de Investigación CONACYT</t>
  </si>
  <si>
    <t>Tasa de variación de Actividades de divulgación y difusión de la ciencia</t>
  </si>
  <si>
    <t>Proporción de Posgrados de calidad</t>
  </si>
  <si>
    <t>Tasa de variación del número de contratos o convenios firmados vigentes realizados</t>
  </si>
  <si>
    <t>Porcentaje de alumnos de los Centros Públicos de Investigación CONACYT apoyados</t>
  </si>
  <si>
    <t>Porcentaje de Proyectos finalizados en tiempo y forma</t>
  </si>
  <si>
    <t>Eficiencia terminal de alumnos por cohorte</t>
  </si>
  <si>
    <t>Tasa de variación de solicitudes de ingreso (incluye FIDERH)</t>
  </si>
  <si>
    <t>Proporción de recursos para la investigación</t>
  </si>
  <si>
    <t>Razón de participación en actividades de divulgación</t>
  </si>
  <si>
    <t>F-003 - Programas nacionales estratégicos de ciencia, tecnología y vinculación con el sector social, público y privado</t>
  </si>
  <si>
    <t>Brecha de asignación de apoyos a las Humanidades, la Ciencia y la Innovación en las Entidades Federativas.</t>
  </si>
  <si>
    <t>Porcentaje de actores nacionales que desarrollaron sus capacidades orientadas a la atención de problemas prioritarios</t>
  </si>
  <si>
    <t>Causas: 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Efectos: De 195 instituciones apoyadas, 14 tuvieron apoyos por encargo de estado y emergencia nacional, lo que representa el 7% de los apoyos.</t>
  </si>
  <si>
    <t>Porcentaje de proyectos de infraestructura apoyados</t>
  </si>
  <si>
    <t>Causas: Durante el 2021, el Programa apoyo a un total 437 proyectos. El segundo semestre fue el periodo en el que más recursos se transfirieron a las instituciones. Para el segundo semestre se alcanzó la meta. 
Efectos: En el segundo semestre de 2021 se formalizaron la mayoría de los apoyos otorgados.</t>
  </si>
  <si>
    <t xml:space="preserve"> Porcentaje de proyectos por encargo de Estado apoyados </t>
  </si>
  <si>
    <t>Porcentaje de proyectos para atender emergencias nacionales apoyados</t>
  </si>
  <si>
    <t>Causas: Durante el 2021, el Programa apoyo a un total 437 proyectos. El segundo semestre fue el periodo en el que más recursos se transfirieron a las instituciones, debido a que algunos proyectos fueron cancelados o fueron terminados anticipadamente. . Para el segundo semestre se alcanzó la meta. 
Efectos: En el segundo semestre de 2021 se formalizaron la mayoría de los apoyos otorgados.</t>
  </si>
  <si>
    <t xml:space="preserve"> Porcentaje de proyectos de actividades generales de Ciencia, Tecnología e Innovación y acceso al conocimiento apoyados </t>
  </si>
  <si>
    <t xml:space="preserve">Porcentaje de proyectos formalizados </t>
  </si>
  <si>
    <t>Causas: 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Efectos: En el ultimo periodo de 2021 se formalizaron mas proyectos que los aprobados en el mismo, principalmente por el tiempo limite para ejercer los recursos.</t>
  </si>
  <si>
    <t xml:space="preserve">Porcentaje de proyectos (solicitudes) aprobados </t>
  </si>
  <si>
    <t>Causas: Se alcanzó la meta. En 2021, se evaluaron un total de 467 propuestas de solicitud de apoyo, las cuales fueron aprobadas.
Efectos: El total de las propuestas  de solicitud de apoyo evaluadas fueron aprobadas.</t>
  </si>
  <si>
    <t xml:space="preserve"> Porcentaje de propuestas de solicitud de apoyo con evaluación </t>
  </si>
  <si>
    <t>Causas: Se alcanzó la meta. En 2021, se recibieron un total de 467 propuestas de solicitud de apoyo, mismas que fueron evaluadas. 
Efectos: Todas las propuestas de solicitud de apoyo recibidas fueron evaluadas.</t>
  </si>
  <si>
    <t xml:space="preserve"> Porcentaje de convocatorias emitidas </t>
  </si>
  <si>
    <t>Causas: Se alcanzó la meta. Durante el 2021, se emitieron 17 convocatorias de 18 que se tenían programadas 
Efectos: Todas las convocatorias programadas en este periodo fueron emitidas en el mismo.</t>
  </si>
  <si>
    <t xml:space="preserve"> Gasto en Investigación Científica y Desarrollo Experimental (GIDE) ejecutado por la Instituciones de Educación Superior (IES) respecto al Producto Interno Bruto (PIB) </t>
  </si>
  <si>
    <t xml:space="preserve"> K-010 - Proyectos de infraestructura social de ciencia y tecnología </t>
  </si>
  <si>
    <t>Causas: 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</si>
  <si>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Variación del Pilar de Innovación del Índice de Competitividad Global del FEM</t>
  </si>
  <si>
    <t>Causas: 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</si>
  <si>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Porcentaje de proyectos de infraestructura de los Centros Públicos de Investigación CONACYT atendidas</t>
  </si>
  <si>
    <t xml:space="preserve">Causas: El numerador se registró en cero debido a que los proyectos registrados en cartera de inversión no se les asignó presupuesto en el Ejercicio Fiscal. </t>
  </si>
  <si>
    <t xml:space="preserve">Porcentaje de CPI que presentan Documento de Planeación </t>
  </si>
  <si>
    <t>Causas: Se alcanzó la meta.</t>
  </si>
  <si>
    <t>Porcentaje de Programas y Proyectos de Inversión registrados en cartera de inversión</t>
  </si>
  <si>
    <t>Porcentaje de Proyectos de Inversión sometidos a evaluación</t>
  </si>
  <si>
    <t>P-001 - Diseño y evaluación de políticas en ciencia, tecnología e innovación</t>
  </si>
  <si>
    <t xml:space="preserve">Brecha de asignación de apoyos a las Humanidades, la Ciencia , la Tecnología y la Innovación en las Entidades Federativas.    </t>
  </si>
  <si>
    <t xml:space="preserve">Causas: Se alcanzó la meta, sin embargo, el numerador fue mayor a lo esperado debido al incremento de apoyos otorgados a proyectos nacionales estratégicos.  </t>
  </si>
  <si>
    <t xml:space="preserve"> Índice de mejora del ISED de los Pp presupuestarios del CONACyT</t>
  </si>
  <si>
    <t>Causas: De acuerdo con los resultados del Índice de Seguimiento al Desempeño (ISeD) de 2021, el Ramo 38 obtuvo una menor calificación en comparación con el periodo anterior, teniendo una diferencia de 5 puntos respecto al año previo.</t>
  </si>
  <si>
    <t>Porcentaje de ASM reportados en SSAS respecto del total de ASM vigentes</t>
  </si>
  <si>
    <t>Causas: Se reportaron avances de los 9 ASM comprometidos por el CONACYT, 4 del Pp P001, 4 del Pp E003 y uno del Pp K010.</t>
  </si>
  <si>
    <t xml:space="preserve">Consultas promedio por días del Informe de Actividades y del Informe de Autoevaluación del Consejo Nacional de Ciencia y Tecnología </t>
  </si>
  <si>
    <t xml:space="preserve">Causas: El número de consultas a los Informes de Actividades y Autoevaluación fue menor de lo esperado. </t>
  </si>
  <si>
    <t>Porcentaje de Matrices de Indicadores para Resultados (MIR) de los programas presupuestarios de CONACYT con recomendaciones internas y externas incorporadas</t>
  </si>
  <si>
    <t>Causas: Durante el 2021, se realizaron ajustes a los instrumentos de seguimiento del desempeño de cuatro Programas presupuestario E003, S190, S191 y F003.</t>
  </si>
  <si>
    <t>Porcentaje de informes finales de evaluaciones externas entregados</t>
  </si>
  <si>
    <t>Causas: 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</si>
  <si>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Tasa de Variación de días invertidos en el proceso de recopilación, procesamiento e integración del Informe de Actividades y de Autoevaluación del Consejo Nacional de Ciencia y Tecnología </t>
  </si>
  <si>
    <t xml:space="preserve">Causas: 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</si>
  <si>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Porcentaje de asesorías proporcionadas a las unidades responsables para la mejora de la MIR de los programas presupuestarios del CONACYT</t>
  </si>
  <si>
    <t>Causas: Durante el 2021, se realizaron ajustes a los instrumentos de seguimiento del desempeño de cuatro Programas presupuestario E003, S190, S191 y F003</t>
  </si>
  <si>
    <t>Porcentaje de actividades de monitoreo de ASM realizadas</t>
  </si>
  <si>
    <t>Causas: 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</si>
  <si>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Porcentaje de contratos de evaluaciones externas mandatadas en el Programa Anual de Evaluación (PAE) a los programas presupuestarios del CONACYT formalizados</t>
  </si>
  <si>
    <t>Causas: 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</si>
  <si>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S-190 - Becas de posgrado y apoyos a la calidad</t>
  </si>
  <si>
    <t>Gasto en Investigación Científica y Desarrollo Experimental (GIDE) ejecutado por la Instituciones de Educación Superior (IES) respecto al Producto Interno Bruto (PIB)</t>
  </si>
  <si>
    <t>Porcentaje de exbecarios del Conacyt que ingresa de al Sistema Nacional de Investigadores (SNI)</t>
  </si>
  <si>
    <t xml:space="preserve">Causas: 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</si>
  <si>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Porcentaje de Nuevas Becas de Posgrado.</t>
  </si>
  <si>
    <t xml:space="preserve">Causas: 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t>
  </si>
  <si>
    <t>Porcentaje de programas pertenecientes al Programa Nacional de Posgrados de Calidad (PNPC) que tienen el nivel más alto de consolidación: competencia internacional</t>
  </si>
  <si>
    <t xml:space="preserve">Causas: 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2020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</si>
  <si>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Porcentaje de Mujeres Beneficiadas con una Beca Nueva de Posgrado</t>
  </si>
  <si>
    <t>Causas: 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t>
  </si>
  <si>
    <t>Porcentaje de Becas Nuevas para la Consolidación de Doctores</t>
  </si>
  <si>
    <t>Porcentaje de convocatorias publicadas</t>
  </si>
  <si>
    <t xml:space="preserve">Causas: 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t>
  </si>
  <si>
    <t xml:space="preserve">Porcentaje de avance en el ejercicio del presupuesto asignado para el Programa Presupuestario Becas de Posgrado y Apoyos a la Calidad (Pp. S190) </t>
  </si>
  <si>
    <t xml:space="preserve">Causas: 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t>
  </si>
  <si>
    <t>Porcentaje de Avance en el Ejercicio del Presupuesto de Becas, con Enfoque de Género.</t>
  </si>
  <si>
    <t xml:space="preserve">Causas: 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t>
  </si>
  <si>
    <t>S-191 - Sistema Nacional de Investigadores</t>
  </si>
  <si>
    <t>Promedio de citas por artículo publicado en revistas indizadas por investigadores mexicanos.</t>
  </si>
  <si>
    <t xml:space="preserve">Causas: 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Efectos: Las citas aumentarán en función del tiempo que un artículo circule en la comunidades académicas, por lo que este número tiende a aumentar exponencialmente en los años recientes y a suavizar su crecimiento en el largo plazo.  </t>
  </si>
  <si>
    <t>Porcentaje de estímulos económicos de la modalidad Candidato a Investigador Nacional con respecto al total de miembros del SNI entregados</t>
  </si>
  <si>
    <t>Causas: La diferencia en el numerador se debe a que algunos miembros del SNI no cumplieron con la normatividad para recibir el pago del estímulo económico asociado a la distinción, por lo que si bien contaron con la distinción no recibieron este estimulo económico.</t>
  </si>
  <si>
    <t xml:space="preserve">Porcentaje de estímulos económicos de la modalidad Investigador Nacional Nivel I con respecto al total de miembros del SNI entregados </t>
  </si>
  <si>
    <t xml:space="preserve">Porcentaje de estímulos económicos de la modalidad Investigador Nacional Nivel II con respecto al total de miembros del SNI entregados </t>
  </si>
  <si>
    <t xml:space="preserve">Porcentaje de estímulos económicos de la modalidad Investigador Nacional Nivel III  e Investigadores Eméritos con respecto al total de miembros del SNI entregados </t>
  </si>
  <si>
    <t>Porcentaje de miembros vigentes en el Sistema Nacional de Investigadores que logran renovar su permanencia sobre el total que lo solicita.</t>
  </si>
  <si>
    <t>Causas: La diferencia en el numerador se debe a que aprobaron un menor numero de investigadores que solicitaron renovación que los estimados.</t>
  </si>
  <si>
    <t>Porcentaje de investigadores de Nivel III y Eméritos que cuentan con ayudantes de investigación</t>
  </si>
  <si>
    <t>Causas: Es el primer año que se reporta el indicador y se refiere a la incorporación de jóvenes al SIN, estipulado en el CAPÍTULO XVII del Reglamento del SNI.</t>
  </si>
  <si>
    <t>Tasa de variación de investigadores nacionales vigentes</t>
  </si>
  <si>
    <t>Causas: La diferencia en el numerador se debe a que durante el año por diversas circunstancias entre ellas el fallecimiento, varios miembros del SNI perdieron su distinción.</t>
  </si>
  <si>
    <t>Porcentaje de cobertura del Sistema Nacional de Investigadores</t>
  </si>
  <si>
    <t>Tasa de variación de los artículos científicos publicados en revistas indizadas a nivel mundial</t>
  </si>
  <si>
    <t xml:space="preserve">Causas: 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</si>
  <si>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Tasa de artículos científicos publicados por cada millón de habitantes.</t>
  </si>
  <si>
    <t>Porcentaje de dictámenes rectificados durante la reconsideración.</t>
  </si>
  <si>
    <t>Causas: La diferencia en el numerador y denominador se debe a que se recibieron un mayor número de solicitudes que los estimados.</t>
  </si>
  <si>
    <t>Porcentaje de dictámenes elaborados respecto del total de solicitudes recibidas</t>
  </si>
  <si>
    <t>Porcentaje del presupuesto ejercido acumulado trimestralmente en la operación del programa.</t>
  </si>
  <si>
    <t>Causas: La diferencia en el numerador se debe a que algunos miembros del SNI no cumplieron con la normatividad para recibir el pago del estímulo económico asociado a la distinción, por lo que si bien contaron con la distinción no recibieron este estimulo económico. En cuanto a la diferencia contra el presupuesto aprobado de 5,554.7 millones el déficit contra el ejercido se cubrió con los montos asignados al SNI por la SHCP provenientes de multas  del INE.</t>
  </si>
  <si>
    <t>Causas: el numerador y el denominador son menores porque 6 centros no reportaron información para este indicador y algunos centros reportaron datos preeliminares.</t>
  </si>
  <si>
    <t>Causas: El valor resultante es cercano a la meta.</t>
  </si>
  <si>
    <t>Causas: El valor del indicador es cercano al de la meta ajustada de octubre.
Nota: este indicador fue calculado con los datos reportados por 19 centros, mientras que la meta ajustada fue calculada con los datos de 27 centros. Ello genera un denominador de 2,024 contratos o convenios.
Sin embargo, al reportar en el denominador el dato de la Cuenta Pública de 2020, el denominador crece sin aumentar el numerador provocando una situación no comparable, y una subestimación de los esfuerzos de los centros al no incluir datos de los 27 centros. 
Utilizando en el denominador el dato real que cooresponde a los centros que reportaron se tendrían 15, 176 actividades, lo cual genera una meta de 25 puntos de variación, un valor acorde a los esfuerzos de los centros.</t>
  </si>
  <si>
    <t>Causas: El valor del indicador no es comparable con el registrado en años anteriores por el cambio en el cálculo</t>
  </si>
  <si>
    <t>Causas: La diferencia entre los valores de las metas obedece a una recuperación en la dinámica de los centros ante el Covid y las condiciones de estabilidad ante el reacomodo de sus  reglas internass ante la certeza de la desaparición de los fideicomisos como en la búsqueda de lineamientos para la generación de recursos propios.
Nota: este indicador fue calculado con los datos reportados por 21 centros, mientras que la meta ajustada fue calculada con los datos de 27 centros. Ello genera un denominador de 2,024 contratos o convenios.
Sin embargo, al reportar en el denominador el dato de la Cuenta Pública de 2020, el denominador crece sin aumentar el numerador provocando una situación no comparable, y una subestimación de los esfuerzos de los centros al no incluir datos de los 27 centros.</t>
  </si>
  <si>
    <t>Causas: Se alcanzó la meta</t>
  </si>
  <si>
    <t>Causas: La disminución en el número de graduados obedece al escenario de pandemia por el COVID-19 del año 2021, el cual redujo el acceso a laboratorios en los  posgrados los cuales son orientados a la investigación. A la par, en otros centros, la graduación está programada para enero de 2022 por lo cual el valor del indicador se ve disminuido</t>
  </si>
  <si>
    <t>Causas: Pese a lo planeado en octubre, hubo una disminución en las solicitudes de ingresos a los CPI. El indicador resultante es más similar al valor programado que al ajustado en octubre de 2021, alrededor de -9% dado que el total de los 21 centros que reportaron da 3,807 solicitudes. 
Sin embargo, al reportar en el denominador el dato de la Cuenta Pública de 2020, el denominador crece sin aumentar el numerador provocando una situación no comparable, y una subestimación de los esfuerzos de los centros al no incluir datos de los 27 centros.</t>
  </si>
  <si>
    <t>Causas: El valor del indicador superó tanto a lo programado a inicios del año 2021 como a la meta ajustada de octubre. Una explicación puede obedecer a que este indicador contiene información de 21 de 27 centros que son las UR del programa</t>
  </si>
  <si>
    <t>Causas: El valor del indicador superó tanto a lo programado a inicios del año 2021 como a la meta ajustada de octubre. La explicación está en la recuperación de la vida académica de los centros y la adaptación de las actividades de difusión al contexto pandémico.
Nota: la explicación de que el numerador y el denominador sean menores a los de las metas ajustadas obedece a que el indicador para este reporte fue calculado con los datos reportados por 20 centros, mientras que la meta ajustada fue calculada con los datos de 27 centros.</t>
  </si>
  <si>
    <t>Causas: La diferencia respecto al valor ajustado obedece a que los centros a mediados de año redujeron las expectativas de logro. Sin embargo, los resultados muestran que la meta alcanzada superó incluso a la meta programada.
Nota: el numerador y el denominador son menores porque 7 centros no reportaron información para este indicador.</t>
  </si>
  <si>
    <t xml:space="preserve">Causas: La superación de la meta obedece a que pocos centros consideran que les aplica este indicador. Por tanto, muchos CPI no reportaron cifras, y quienes lo hacen tienen capacidades y know how sobre transferencia de conocimiento y servicios de consultoría hacia os actores externos, lo cual provoca una sobreestimación del numerador </t>
  </si>
  <si>
    <t>Programa presupuestario (Modalidad y nombre)</t>
  </si>
  <si>
    <t>Indicadores por tipo de  cumplimiento de la meta</t>
  </si>
  <si>
    <t>Total</t>
  </si>
  <si>
    <t>Indicadores menores al 80%</t>
  </si>
  <si>
    <t>Indicadores entre 80% y 115%</t>
  </si>
  <si>
    <t>Indicadores mayores al 115%</t>
  </si>
  <si>
    <t>Indicadores por % de  cumplimiento de la meta</t>
  </si>
  <si>
    <t>% Indicadores menores al 80%</t>
  </si>
  <si>
    <t>% Indicadores entre 80% y 115%</t>
  </si>
  <si>
    <t>% Indicadores mayores al 115%</t>
  </si>
  <si>
    <t>Cuadro 1: Cumplimiento de las metas al cuarto trimestre de 2021 de los Indicadores de las MIR del CONACYT</t>
  </si>
  <si>
    <t>Cuadro 2: Porcentaje de Cumplimiento de las metas al cuarto trimestre de 2021 de los Indicadores de las MIR del CONACYT</t>
  </si>
  <si>
    <r>
      <t xml:space="preserve">E003: </t>
    </r>
    <r>
      <rPr>
        <sz val="9"/>
        <color theme="1"/>
        <rFont val="Montserrat"/>
      </rPr>
      <t>Investigación científica, desarrollo e innovación</t>
    </r>
  </si>
  <si>
    <r>
      <rPr>
        <b/>
        <sz val="9"/>
        <color theme="1"/>
        <rFont val="Montserrat"/>
      </rPr>
      <t>F003</t>
    </r>
    <r>
      <rPr>
        <sz val="9"/>
        <color theme="1"/>
        <rFont val="Montserrat"/>
      </rPr>
      <t>: Programas nacionales estratégicos de ciencia, tecnología y vinculación con el sector social, público y privado.</t>
    </r>
  </si>
  <si>
    <r>
      <rPr>
        <b/>
        <sz val="9"/>
        <color theme="1"/>
        <rFont val="Montserrat"/>
      </rPr>
      <t>K010:</t>
    </r>
    <r>
      <rPr>
        <sz val="9"/>
        <color theme="1"/>
        <rFont val="Montserrat"/>
      </rPr>
      <t xml:space="preserve"> Proyectos de infraestructura social de ciencia y tecnología</t>
    </r>
  </si>
  <si>
    <r>
      <rPr>
        <b/>
        <sz val="9"/>
        <color theme="1"/>
        <rFont val="Montserrat"/>
      </rPr>
      <t>P001:</t>
    </r>
    <r>
      <rPr>
        <sz val="9"/>
        <color theme="1"/>
        <rFont val="Montserrat"/>
      </rPr>
      <t xml:space="preserve"> Diseño y evaluación de políticas en ciencia, tecnología e innovación</t>
    </r>
  </si>
  <si>
    <r>
      <rPr>
        <b/>
        <sz val="9"/>
        <color theme="1"/>
        <rFont val="Montserrat"/>
      </rPr>
      <t>S190</t>
    </r>
    <r>
      <rPr>
        <sz val="9"/>
        <color theme="1"/>
        <rFont val="Montserrat"/>
      </rPr>
      <t>: Becas de posgrado y otras modalidades de apoyo a la calidad</t>
    </r>
  </si>
  <si>
    <r>
      <rPr>
        <b/>
        <sz val="9"/>
        <color theme="1"/>
        <rFont val="Montserrat"/>
      </rPr>
      <t>S191</t>
    </r>
    <r>
      <rPr>
        <sz val="9"/>
        <color theme="1"/>
        <rFont val="Montserrat"/>
      </rPr>
      <t>: Sistema Nacional de Investigadores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</si>
</sst>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sz val="11"/>
      <color theme="1"/>
      <name val="Montserrat"/>
    </font>
    <font>
      <b/>
      <sz val="10"/>
      <color theme="0"/>
      <name val="Montserrat"/>
    </font>
    <font>
      <sz val="11"/>
      <color theme="1"/>
      <name val="Calibri"/>
      <family val="2"/>
      <scheme val="minor"/>
    </font>
    <font>
      <sz val="11"/>
      <color theme="1"/>
      <name val="Arial Narrow"/>
      <family val="2"/>
    </font>
    <font>
      <sz val="10"/>
      <color theme="1"/>
      <name val="Montserrat"/>
    </font>
    <font>
      <b/>
      <sz val="10"/>
      <color theme="1"/>
      <name val="Montserrat"/>
    </font>
    <font>
      <b/>
      <sz val="9"/>
      <color theme="0"/>
      <name val="Montserrat"/>
    </font>
    <font>
      <b/>
      <sz val="9"/>
      <color theme="1"/>
      <name val="Montserrat"/>
    </font>
    <font>
      <sz val="9"/>
      <color theme="1"/>
      <name val="Montserrat"/>
    </font>
  </fonts>
  <fills count="6">
    <fill>
      <patternFill patternType="none"/>
    </fill>
    <fill>
      <patternFill patternType="gray125"/>
    </fill>
    <fill>
      <patternFill patternType="solid">
        <fgColor rgb="FF318270"/>
        <bgColor indexed="64"/>
      </patternFill>
    </fill>
    <fill>
      <patternFill patternType="solid">
        <fgColor rgb="FF1F504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rgb="FF1F5045"/>
      </left>
      <right style="thin">
        <color rgb="FF1F5045"/>
      </right>
      <top style="thin">
        <color rgb="FF1F5045"/>
      </top>
      <bottom style="thin">
        <color rgb="FF1F5045"/>
      </bottom>
      <diagonal/>
    </border>
    <border>
      <left/>
      <right/>
      <top style="thin">
        <color rgb="FF1F5045"/>
      </top>
      <bottom style="thin">
        <color rgb="FF1F5045"/>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42">
    <xf numFmtId="0" fontId="0" fillId="0" borderId="0" xfId="0"/>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4" borderId="0" xfId="0" applyFont="1" applyFill="1"/>
    <xf numFmtId="0" fontId="6" fillId="4" borderId="0" xfId="0" applyFont="1" applyFill="1" applyAlignment="1">
      <alignment horizontal="center" vertical="center" wrapText="1"/>
    </xf>
    <xf numFmtId="0" fontId="5" fillId="4" borderId="0" xfId="0" applyFont="1" applyFill="1" applyAlignment="1">
      <alignment horizontal="left" vertical="center" wrapText="1"/>
    </xf>
    <xf numFmtId="0" fontId="5" fillId="4" borderId="0" xfId="0" applyFont="1" applyFill="1"/>
    <xf numFmtId="0" fontId="5" fillId="0" borderId="0" xfId="0" applyFont="1"/>
    <xf numFmtId="0" fontId="8" fillId="4" borderId="0" xfId="0" applyFont="1" applyFill="1" applyAlignment="1">
      <alignment horizontal="left" vertical="center" wrapText="1"/>
    </xf>
    <xf numFmtId="0" fontId="9" fillId="4" borderId="0" xfId="0" applyFont="1" applyFill="1" applyAlignment="1">
      <alignment horizontal="center" vertical="center"/>
    </xf>
    <xf numFmtId="0" fontId="9" fillId="4" borderId="0" xfId="0" applyFont="1" applyFill="1" applyAlignment="1">
      <alignment horizontal="left" vertical="center" wrapText="1"/>
    </xf>
    <xf numFmtId="10" fontId="9" fillId="4" borderId="0" xfId="1" applyNumberFormat="1" applyFont="1" applyFill="1" applyAlignment="1">
      <alignment horizontal="center" vertical="center"/>
    </xf>
    <xf numFmtId="0" fontId="8" fillId="4" borderId="2" xfId="0" applyFont="1" applyFill="1" applyBorder="1"/>
    <xf numFmtId="10" fontId="8" fillId="4" borderId="2" xfId="1" applyNumberFormat="1" applyFont="1" applyFill="1" applyBorder="1" applyAlignment="1">
      <alignment horizontal="center"/>
    </xf>
    <xf numFmtId="0" fontId="7" fillId="2" borderId="3" xfId="0" applyFont="1" applyFill="1" applyBorder="1" applyAlignment="1">
      <alignment horizontal="center" vertical="center" wrapText="1"/>
    </xf>
    <xf numFmtId="0" fontId="6" fillId="4" borderId="4" xfId="0" applyFont="1" applyFill="1" applyBorder="1"/>
    <xf numFmtId="0" fontId="6" fillId="4" borderId="4" xfId="0" applyFont="1" applyFill="1" applyBorder="1" applyAlignment="1">
      <alignment horizontal="center"/>
    </xf>
    <xf numFmtId="0" fontId="1" fillId="0" borderId="1" xfId="0" applyFont="1" applyBorder="1"/>
    <xf numFmtId="4" fontId="1" fillId="0" borderId="1" xfId="0" applyNumberFormat="1" applyFont="1" applyBorder="1"/>
    <xf numFmtId="0" fontId="1" fillId="0" borderId="1" xfId="0" applyFont="1" applyBorder="1" applyAlignment="1">
      <alignment vertical="center"/>
    </xf>
    <xf numFmtId="2" fontId="1" fillId="0" borderId="1" xfId="0" applyNumberFormat="1" applyFont="1" applyBorder="1"/>
    <xf numFmtId="1" fontId="1" fillId="0" borderId="1" xfId="0" applyNumberFormat="1" applyFont="1" applyBorder="1"/>
    <xf numFmtId="0" fontId="1" fillId="0" borderId="1" xfId="0" applyFont="1" applyFill="1" applyBorder="1"/>
    <xf numFmtId="0" fontId="1" fillId="0" borderId="1" xfId="0" applyFont="1" applyFill="1" applyBorder="1" applyAlignment="1">
      <alignment wrapText="1"/>
    </xf>
    <xf numFmtId="4" fontId="1" fillId="0" borderId="1" xfId="0" applyNumberFormat="1" applyFont="1" applyFill="1" applyBorder="1"/>
    <xf numFmtId="0" fontId="0" fillId="0" borderId="0" xfId="0" applyFill="1"/>
    <xf numFmtId="4" fontId="1" fillId="0" borderId="1" xfId="0" applyNumberFormat="1" applyFont="1" applyFill="1" applyBorder="1" applyAlignment="1">
      <alignment vertical="center"/>
    </xf>
    <xf numFmtId="0" fontId="1" fillId="0" borderId="1" xfId="0" applyFont="1" applyFill="1" applyBorder="1" applyAlignment="1">
      <alignment vertical="center"/>
    </xf>
    <xf numFmtId="2" fontId="1" fillId="0" borderId="1" xfId="0" applyNumberFormat="1" applyFont="1" applyFill="1" applyBorder="1"/>
    <xf numFmtId="0" fontId="1" fillId="0" borderId="1" xfId="0" applyFont="1" applyFill="1" applyBorder="1" applyAlignment="1"/>
    <xf numFmtId="165" fontId="1" fillId="0" borderId="1" xfId="0" applyNumberFormat="1" applyFont="1" applyFill="1" applyBorder="1"/>
    <xf numFmtId="0" fontId="0" fillId="0" borderId="0" xfId="0" applyFill="1" applyAlignment="1">
      <alignment vertical="center"/>
    </xf>
    <xf numFmtId="164" fontId="1" fillId="0" borderId="1" xfId="0" applyNumberFormat="1" applyFont="1" applyFill="1" applyBorder="1"/>
    <xf numFmtId="0" fontId="1" fillId="0" borderId="5" xfId="0" applyFont="1" applyFill="1" applyBorder="1"/>
    <xf numFmtId="4" fontId="0" fillId="0" borderId="0" xfId="0" applyNumberFormat="1"/>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4" borderId="0" xfId="0" applyFont="1" applyFill="1" applyAlignment="1">
      <alignment horizontal="center" vertical="center" wrapText="1"/>
    </xf>
    <xf numFmtId="4" fontId="2" fillId="3" borderId="1" xfId="0" applyNumberFormat="1" applyFont="1" applyFill="1" applyBorder="1" applyAlignment="1">
      <alignment horizontal="center" vertical="center" wrapText="1"/>
    </xf>
    <xf numFmtId="4" fontId="1" fillId="5" borderId="1" xfId="0" applyNumberFormat="1" applyFont="1" applyFill="1" applyBorder="1"/>
    <xf numFmtId="0" fontId="1" fillId="5" borderId="1" xfId="0" applyFont="1" applyFill="1" applyBorder="1"/>
    <xf numFmtId="0" fontId="1" fillId="5" borderId="1"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colors>
    <mruColors>
      <color rgb="FF1F5045"/>
      <color rgb="FF31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DF6B-C9D9-4127-B14A-A227D5B55C9D}">
  <sheetPr filterMode="1"/>
  <dimension ref="A1:N70"/>
  <sheetViews>
    <sheetView tabSelected="1" zoomScale="80" zoomScaleNormal="80" workbookViewId="0">
      <pane xSplit="5" ySplit="1" topLeftCell="F2" activePane="bottomRight" state="frozen"/>
      <selection pane="topRight" activeCell="F1" sqref="F1"/>
      <selection pane="bottomLeft" activeCell="A2" sqref="A2"/>
      <selection pane="bottomRight" activeCell="B13" sqref="B13"/>
    </sheetView>
  </sheetViews>
  <sheetFormatPr baseColWidth="10" defaultRowHeight="15" x14ac:dyDescent="0.25"/>
  <cols>
    <col min="1" max="1" width="20" customWidth="1"/>
    <col min="2" max="2" width="29.7109375" customWidth="1"/>
    <col min="3" max="3" width="11.5703125" customWidth="1"/>
    <col min="4" max="5" width="18.140625" customWidth="1"/>
    <col min="6" max="6" width="11.5703125" bestFit="1" customWidth="1"/>
    <col min="7" max="7" width="18.5703125" bestFit="1" customWidth="1"/>
    <col min="8" max="8" width="18.42578125" bestFit="1" customWidth="1"/>
    <col min="9" max="9" width="11.5703125" bestFit="1" customWidth="1"/>
    <col min="10" max="10" width="18.42578125" style="34" bestFit="1" customWidth="1"/>
    <col min="11" max="11" width="20" style="34" bestFit="1" customWidth="1"/>
    <col min="12" max="12" width="16" customWidth="1"/>
    <col min="13" max="13" width="16.42578125" customWidth="1"/>
    <col min="14" max="14" width="45" customWidth="1"/>
  </cols>
  <sheetData>
    <row r="1" spans="1:14" ht="75" x14ac:dyDescent="0.25">
      <c r="A1" s="1" t="s">
        <v>0</v>
      </c>
      <c r="B1" s="1" t="s">
        <v>1</v>
      </c>
      <c r="C1" s="1" t="s">
        <v>2</v>
      </c>
      <c r="D1" s="2" t="s">
        <v>3</v>
      </c>
      <c r="E1" s="2" t="s">
        <v>4</v>
      </c>
      <c r="F1" s="1" t="s">
        <v>5</v>
      </c>
      <c r="G1" s="2" t="s">
        <v>6</v>
      </c>
      <c r="H1" s="2" t="s">
        <v>7</v>
      </c>
      <c r="I1" s="1" t="s">
        <v>8</v>
      </c>
      <c r="J1" s="38" t="s">
        <v>9</v>
      </c>
      <c r="K1" s="38" t="s">
        <v>10</v>
      </c>
      <c r="L1" s="1" t="s">
        <v>11</v>
      </c>
      <c r="M1" s="1" t="s">
        <v>12</v>
      </c>
      <c r="N1" s="1" t="s">
        <v>13</v>
      </c>
    </row>
    <row r="2" spans="1:14" s="25" customFormat="1" ht="90" x14ac:dyDescent="0.35">
      <c r="A2" s="22" t="s">
        <v>14</v>
      </c>
      <c r="B2" s="23" t="s">
        <v>15</v>
      </c>
      <c r="C2" s="22">
        <v>21.51</v>
      </c>
      <c r="D2" s="22">
        <v>80</v>
      </c>
      <c r="E2" s="22">
        <v>372</v>
      </c>
      <c r="F2" s="22">
        <v>21.51</v>
      </c>
      <c r="G2" s="22">
        <v>80</v>
      </c>
      <c r="H2" s="22">
        <v>372</v>
      </c>
      <c r="I2" s="22">
        <v>30</v>
      </c>
      <c r="J2" s="22">
        <v>174</v>
      </c>
      <c r="K2" s="22">
        <v>580</v>
      </c>
      <c r="L2" s="24">
        <f>(I2/C2)*100</f>
        <v>139.47001394700138</v>
      </c>
      <c r="M2" s="24">
        <f>(I2/F2)*100</f>
        <v>139.47001394700138</v>
      </c>
      <c r="N2" s="22" t="s">
        <v>129</v>
      </c>
    </row>
    <row r="3" spans="1:14" s="25" customFormat="1" ht="72" x14ac:dyDescent="0.35">
      <c r="A3" s="22" t="s">
        <v>14</v>
      </c>
      <c r="B3" s="23" t="s">
        <v>16</v>
      </c>
      <c r="C3" s="22">
        <v>2.11</v>
      </c>
      <c r="D3" s="22">
        <v>43.6</v>
      </c>
      <c r="E3" s="22">
        <v>42.7</v>
      </c>
      <c r="F3" s="22">
        <v>2.06</v>
      </c>
      <c r="G3" s="22">
        <v>44.5</v>
      </c>
      <c r="H3" s="22">
        <v>43.6</v>
      </c>
      <c r="I3" s="22">
        <v>2.06</v>
      </c>
      <c r="J3" s="22">
        <v>44.5</v>
      </c>
      <c r="K3" s="22">
        <v>43.6</v>
      </c>
      <c r="L3" s="26">
        <f>+(J3/D3)*100</f>
        <v>102.06422018348624</v>
      </c>
      <c r="M3" s="26">
        <f>+(J3/H3)*100</f>
        <v>102.06422018348624</v>
      </c>
      <c r="N3" s="27" t="s">
        <v>50</v>
      </c>
    </row>
    <row r="4" spans="1:14" s="25" customFormat="1" ht="54" x14ac:dyDescent="0.35">
      <c r="A4" s="22" t="s">
        <v>14</v>
      </c>
      <c r="B4" s="23" t="s">
        <v>17</v>
      </c>
      <c r="C4" s="22">
        <v>0.39</v>
      </c>
      <c r="D4" s="22">
        <v>889</v>
      </c>
      <c r="E4" s="22">
        <v>2281</v>
      </c>
      <c r="F4" s="22">
        <v>43.99</v>
      </c>
      <c r="G4" s="22">
        <v>1172</v>
      </c>
      <c r="H4" s="22">
        <v>2664</v>
      </c>
      <c r="I4" s="28">
        <v>58.5693710993759</v>
      </c>
      <c r="J4" s="22">
        <v>1220</v>
      </c>
      <c r="K4" s="22">
        <v>2083</v>
      </c>
      <c r="L4" s="24">
        <f>(I4/C4)*100</f>
        <v>15017.787461378435</v>
      </c>
      <c r="M4" s="24">
        <f>(I4/F4)*100</f>
        <v>133.14246669555786</v>
      </c>
      <c r="N4" s="22" t="s">
        <v>118</v>
      </c>
    </row>
    <row r="5" spans="1:14" s="25" customFormat="1" ht="90" x14ac:dyDescent="0.35">
      <c r="A5" s="22" t="s">
        <v>14</v>
      </c>
      <c r="B5" s="23" t="s">
        <v>18</v>
      </c>
      <c r="C5" s="22">
        <v>1.74</v>
      </c>
      <c r="D5" s="22">
        <v>4193</v>
      </c>
      <c r="E5" s="22">
        <v>2406</v>
      </c>
      <c r="F5" s="22">
        <v>1.95</v>
      </c>
      <c r="G5" s="22">
        <v>5017</v>
      </c>
      <c r="H5" s="22">
        <v>2568</v>
      </c>
      <c r="I5" s="28">
        <v>1.8909702209414025</v>
      </c>
      <c r="J5" s="22">
        <v>3937</v>
      </c>
      <c r="K5" s="22">
        <v>2082</v>
      </c>
      <c r="L5" s="24">
        <f>(I5/C5)*100</f>
        <v>108.67644947939095</v>
      </c>
      <c r="M5" s="24">
        <f>(I5/F5)*100</f>
        <v>96.972831843148853</v>
      </c>
      <c r="N5" s="22" t="s">
        <v>119</v>
      </c>
    </row>
    <row r="6" spans="1:14" s="25" customFormat="1" ht="72" x14ac:dyDescent="0.35">
      <c r="A6" s="22" t="s">
        <v>14</v>
      </c>
      <c r="B6" s="23" t="s">
        <v>19</v>
      </c>
      <c r="C6" s="22">
        <v>1.1100000000000001</v>
      </c>
      <c r="D6" s="22">
        <v>17312</v>
      </c>
      <c r="E6" s="22">
        <v>15583</v>
      </c>
      <c r="F6" s="22">
        <f>((G6/H6)-1)*100</f>
        <v>-11.898129725427776</v>
      </c>
      <c r="G6" s="22">
        <v>22140</v>
      </c>
      <c r="H6" s="22">
        <v>25130</v>
      </c>
      <c r="I6" s="22">
        <v>-13.483862156871673</v>
      </c>
      <c r="J6" s="22">
        <v>19005</v>
      </c>
      <c r="K6" s="22">
        <v>21967</v>
      </c>
      <c r="L6" s="24">
        <f>((J6/K6)/(D6/E6))*100</f>
        <v>77.875518484835297</v>
      </c>
      <c r="M6" s="24">
        <f>((J6/K6)/(G6/H6))*100</f>
        <v>98.200114905050356</v>
      </c>
      <c r="N6" s="29" t="s">
        <v>120</v>
      </c>
    </row>
    <row r="7" spans="1:14" s="25" customFormat="1" ht="36" x14ac:dyDescent="0.35">
      <c r="A7" s="22" t="s">
        <v>14</v>
      </c>
      <c r="B7" s="23" t="s">
        <v>20</v>
      </c>
      <c r="C7" s="22">
        <v>0.6</v>
      </c>
      <c r="D7" s="22">
        <v>470</v>
      </c>
      <c r="E7" s="22">
        <v>788</v>
      </c>
      <c r="F7" s="22">
        <v>0.72</v>
      </c>
      <c r="G7" s="22">
        <v>471</v>
      </c>
      <c r="H7" s="22">
        <v>656</v>
      </c>
      <c r="I7" s="28">
        <f>J7/K7</f>
        <v>6.8538398018166802E-2</v>
      </c>
      <c r="J7" s="22">
        <v>166</v>
      </c>
      <c r="K7" s="22">
        <v>2422</v>
      </c>
      <c r="L7" s="24">
        <f>(I7/C7)*100</f>
        <v>11.423066336361135</v>
      </c>
      <c r="M7" s="24">
        <f>(I7/F7)*100</f>
        <v>9.5192219469676118</v>
      </c>
      <c r="N7" s="22" t="s">
        <v>121</v>
      </c>
    </row>
    <row r="8" spans="1:14" s="25" customFormat="1" ht="72" x14ac:dyDescent="0.35">
      <c r="A8" s="22" t="s">
        <v>14</v>
      </c>
      <c r="B8" s="23" t="s">
        <v>21</v>
      </c>
      <c r="C8" s="22">
        <v>1.02</v>
      </c>
      <c r="D8" s="22">
        <v>1851</v>
      </c>
      <c r="E8" s="22">
        <v>1811</v>
      </c>
      <c r="F8" s="22">
        <f>((G8/H8)-1)*100</f>
        <v>-9.5895977245022301</v>
      </c>
      <c r="G8" s="22">
        <v>2225</v>
      </c>
      <c r="H8" s="22">
        <v>2461</v>
      </c>
      <c r="I8" s="22">
        <v>-13.16984559491371</v>
      </c>
      <c r="J8" s="22">
        <v>1912</v>
      </c>
      <c r="K8" s="22">
        <v>2202</v>
      </c>
      <c r="L8" s="24">
        <f>((J8/K8)/(D8/E8))*100</f>
        <v>84.953759928477197</v>
      </c>
      <c r="M8" s="24">
        <f>((J8/K8)/(G8/H8))*100</f>
        <v>96.040004490299935</v>
      </c>
      <c r="N8" s="29" t="s">
        <v>122</v>
      </c>
    </row>
    <row r="9" spans="1:14" s="25" customFormat="1" ht="72" x14ac:dyDescent="0.35">
      <c r="A9" s="22" t="s">
        <v>14</v>
      </c>
      <c r="B9" s="23" t="s">
        <v>22</v>
      </c>
      <c r="C9" s="22">
        <v>81.7</v>
      </c>
      <c r="D9" s="22">
        <v>3459</v>
      </c>
      <c r="E9" s="22">
        <v>4234</v>
      </c>
      <c r="F9" s="22">
        <v>75.22</v>
      </c>
      <c r="G9" s="22">
        <v>3941</v>
      </c>
      <c r="H9" s="22">
        <v>5239</v>
      </c>
      <c r="I9" s="28">
        <v>75.501633224451709</v>
      </c>
      <c r="J9" s="22">
        <v>3236</v>
      </c>
      <c r="K9" s="22">
        <v>4286</v>
      </c>
      <c r="L9" s="24">
        <f>(I9/C9)*100</f>
        <v>92.413259760650803</v>
      </c>
      <c r="M9" s="24">
        <f>(I9/F9)*100</f>
        <v>100.37441268871538</v>
      </c>
      <c r="N9" s="22" t="s">
        <v>123</v>
      </c>
    </row>
    <row r="10" spans="1:14" s="25" customFormat="1" ht="198" x14ac:dyDescent="0.35">
      <c r="A10" s="22" t="s">
        <v>14</v>
      </c>
      <c r="B10" s="23" t="s">
        <v>23</v>
      </c>
      <c r="C10" s="22">
        <v>44.66</v>
      </c>
      <c r="D10" s="22">
        <v>962</v>
      </c>
      <c r="E10" s="22">
        <v>2154</v>
      </c>
      <c r="F10" s="22">
        <v>32.69</v>
      </c>
      <c r="G10" s="22">
        <v>802</v>
      </c>
      <c r="H10" s="22">
        <v>2453</v>
      </c>
      <c r="I10" s="22">
        <v>41.233580810965165</v>
      </c>
      <c r="J10" s="22">
        <v>722</v>
      </c>
      <c r="K10" s="22">
        <v>1751</v>
      </c>
      <c r="L10" s="24">
        <f>(I10/C10)*100</f>
        <v>92.327767153974847</v>
      </c>
      <c r="M10" s="24">
        <f>(I10/F10)*100</f>
        <v>126.13515084418833</v>
      </c>
      <c r="N10" s="23" t="s">
        <v>128</v>
      </c>
    </row>
    <row r="11" spans="1:14" s="25" customFormat="1" ht="36" x14ac:dyDescent="0.35">
      <c r="A11" s="22" t="s">
        <v>14</v>
      </c>
      <c r="B11" s="23" t="s">
        <v>24</v>
      </c>
      <c r="C11" s="22">
        <v>0.64</v>
      </c>
      <c r="D11" s="22">
        <v>2596</v>
      </c>
      <c r="E11" s="22">
        <v>4063</v>
      </c>
      <c r="F11" s="22">
        <v>67.81</v>
      </c>
      <c r="G11" s="22">
        <v>1892</v>
      </c>
      <c r="H11" s="22">
        <v>2790</v>
      </c>
      <c r="I11" s="22">
        <v>56.990941315478537</v>
      </c>
      <c r="J11" s="22">
        <v>1447</v>
      </c>
      <c r="K11" s="22">
        <v>2539</v>
      </c>
      <c r="L11" s="24">
        <f>(I11/C11)*100</f>
        <v>8904.834580543522</v>
      </c>
      <c r="M11" s="24">
        <f>(I11/F11)*100</f>
        <v>84.0450395450207</v>
      </c>
      <c r="N11" s="22" t="s">
        <v>124</v>
      </c>
    </row>
    <row r="12" spans="1:14" s="25" customFormat="1" ht="54" x14ac:dyDescent="0.35">
      <c r="A12" s="22" t="s">
        <v>14</v>
      </c>
      <c r="B12" s="23" t="s">
        <v>25</v>
      </c>
      <c r="C12" s="30">
        <f>((D12/E12)-1)*100</f>
        <v>-9.092465753424662</v>
      </c>
      <c r="D12" s="22">
        <v>5309</v>
      </c>
      <c r="E12" s="22">
        <v>5840</v>
      </c>
      <c r="F12" s="30">
        <f>((G12/H12)-1)*100</f>
        <v>8.8183421516754947</v>
      </c>
      <c r="G12" s="22">
        <v>6170</v>
      </c>
      <c r="H12" s="22">
        <v>5670</v>
      </c>
      <c r="I12" s="22">
        <v>-40.431778929188255</v>
      </c>
      <c r="J12" s="22">
        <v>3449</v>
      </c>
      <c r="K12" s="22">
        <v>5790</v>
      </c>
      <c r="L12" s="24">
        <f>((J12/K12)/(D12/E12))*100</f>
        <v>65.526165201269663</v>
      </c>
      <c r="M12" s="24">
        <f>((J12/K12)/(G12/H12))*100</f>
        <v>54.740974630713545</v>
      </c>
      <c r="N12" s="29" t="s">
        <v>125</v>
      </c>
    </row>
    <row r="13" spans="1:14" s="25" customFormat="1" ht="36" x14ac:dyDescent="0.35">
      <c r="A13" s="22" t="s">
        <v>14</v>
      </c>
      <c r="B13" s="23" t="s">
        <v>26</v>
      </c>
      <c r="C13" s="28">
        <f>D13/E13</f>
        <v>0.2651221367916452</v>
      </c>
      <c r="D13" s="22">
        <v>1060563349.8</v>
      </c>
      <c r="E13" s="22">
        <v>4000282144.0500002</v>
      </c>
      <c r="F13" s="28">
        <f>G13/H13</f>
        <v>0.31028680358275956</v>
      </c>
      <c r="G13" s="28">
        <v>1304602316.45</v>
      </c>
      <c r="H13" s="28">
        <v>4204504675.6300001</v>
      </c>
      <c r="I13" s="22">
        <v>0.44746138500784399</v>
      </c>
      <c r="J13" s="22">
        <v>1441045017.4300001</v>
      </c>
      <c r="K13" s="22">
        <v>3220490227.1170001</v>
      </c>
      <c r="L13" s="24">
        <f t="shared" ref="L13:L14" si="0">((J13/K13)/(D13/E13))*100</f>
        <v>168.77556526315126</v>
      </c>
      <c r="M13" s="24">
        <f t="shared" ref="M13:M14" si="1">((J13/K13)/(G13/H13))*100</f>
        <v>144.20896404268046</v>
      </c>
      <c r="N13" s="22" t="s">
        <v>126</v>
      </c>
    </row>
    <row r="14" spans="1:14" s="25" customFormat="1" ht="306" x14ac:dyDescent="0.35">
      <c r="A14" s="22" t="s">
        <v>14</v>
      </c>
      <c r="B14" s="23" t="s">
        <v>27</v>
      </c>
      <c r="C14" s="22">
        <v>3.75</v>
      </c>
      <c r="D14" s="22">
        <v>18590</v>
      </c>
      <c r="E14" s="22">
        <v>4955</v>
      </c>
      <c r="F14" s="22">
        <v>4.49</v>
      </c>
      <c r="G14" s="22">
        <v>22140</v>
      </c>
      <c r="H14" s="22">
        <v>4932</v>
      </c>
      <c r="I14" s="22">
        <v>5.0343492985002403</v>
      </c>
      <c r="J14" s="22">
        <v>20812</v>
      </c>
      <c r="K14" s="22">
        <v>4134</v>
      </c>
      <c r="L14" s="24">
        <f t="shared" si="0"/>
        <v>134.18612573463528</v>
      </c>
      <c r="M14" s="24">
        <f t="shared" si="1"/>
        <v>112.14729331618425</v>
      </c>
      <c r="N14" s="23" t="s">
        <v>127</v>
      </c>
    </row>
    <row r="15" spans="1:14" s="25" customFormat="1" ht="18" hidden="1" x14ac:dyDescent="0.35">
      <c r="A15" s="22" t="s">
        <v>28</v>
      </c>
      <c r="B15" s="22" t="s">
        <v>29</v>
      </c>
      <c r="C15" s="28">
        <f>D15/E15</f>
        <v>0.51096774193548389</v>
      </c>
      <c r="D15" s="22">
        <v>7.92</v>
      </c>
      <c r="E15" s="22">
        <v>15.5</v>
      </c>
      <c r="F15" s="28">
        <f>G15/H15</f>
        <v>0.51290322580645165</v>
      </c>
      <c r="G15" s="22">
        <v>7.95</v>
      </c>
      <c r="H15" s="22">
        <v>15.5</v>
      </c>
      <c r="I15" s="28">
        <f>J15/K15</f>
        <v>0.51419354838709674</v>
      </c>
      <c r="J15" s="22">
        <v>7.97</v>
      </c>
      <c r="K15" s="22">
        <v>15.5</v>
      </c>
      <c r="L15" s="24">
        <f>((C15-I15)*100)/C15+100</f>
        <v>99.368686868686879</v>
      </c>
      <c r="M15" s="24">
        <f>((F15-I15)*100)/F15+100</f>
        <v>99.748427672955984</v>
      </c>
      <c r="N15" s="22" t="s">
        <v>59</v>
      </c>
    </row>
    <row r="16" spans="1:14" s="31" customFormat="1" ht="18" hidden="1" x14ac:dyDescent="0.25">
      <c r="A16" s="27" t="s">
        <v>28</v>
      </c>
      <c r="B16" s="27" t="s">
        <v>30</v>
      </c>
      <c r="C16" s="27">
        <v>0</v>
      </c>
      <c r="D16" s="27">
        <v>0</v>
      </c>
      <c r="E16" s="27">
        <v>0</v>
      </c>
      <c r="F16" s="27">
        <v>7.28</v>
      </c>
      <c r="G16" s="27">
        <v>15</v>
      </c>
      <c r="H16" s="27">
        <v>206</v>
      </c>
      <c r="I16" s="27">
        <v>7.18</v>
      </c>
      <c r="J16" s="41">
        <v>14</v>
      </c>
      <c r="K16" s="27">
        <v>195</v>
      </c>
      <c r="L16" s="26">
        <f>(C16/F16)*100</f>
        <v>0</v>
      </c>
      <c r="M16" s="26">
        <f>(I16/F16)*100</f>
        <v>98.626373626373621</v>
      </c>
      <c r="N16" s="27" t="s">
        <v>31</v>
      </c>
    </row>
    <row r="17" spans="1:14" s="25" customFormat="1" ht="18" hidden="1" x14ac:dyDescent="0.35">
      <c r="A17" s="22" t="s">
        <v>28</v>
      </c>
      <c r="B17" s="22" t="s">
        <v>32</v>
      </c>
      <c r="C17" s="27">
        <v>0</v>
      </c>
      <c r="D17" s="27">
        <v>0</v>
      </c>
      <c r="E17" s="27">
        <v>0</v>
      </c>
      <c r="F17" s="22">
        <v>46.67</v>
      </c>
      <c r="G17" s="22">
        <v>182</v>
      </c>
      <c r="H17" s="22">
        <v>390</v>
      </c>
      <c r="I17" s="22">
        <v>46.67</v>
      </c>
      <c r="J17" s="22">
        <v>182</v>
      </c>
      <c r="K17" s="22">
        <v>390</v>
      </c>
      <c r="L17" s="26">
        <f t="shared" ref="L17:L24" si="2">(C17/F17)*100</f>
        <v>0</v>
      </c>
      <c r="M17" s="26">
        <f t="shared" ref="M17:M24" si="3">(I17/F17)*100</f>
        <v>100</v>
      </c>
      <c r="N17" s="27" t="s">
        <v>33</v>
      </c>
    </row>
    <row r="18" spans="1:14" s="25" customFormat="1" ht="18" hidden="1" x14ac:dyDescent="0.35">
      <c r="A18" s="22" t="s">
        <v>28</v>
      </c>
      <c r="B18" s="22" t="s">
        <v>34</v>
      </c>
      <c r="C18" s="27">
        <v>0</v>
      </c>
      <c r="D18" s="27">
        <v>0</v>
      </c>
      <c r="E18" s="27">
        <v>0</v>
      </c>
      <c r="F18" s="22">
        <v>1.79</v>
      </c>
      <c r="G18" s="22">
        <v>7</v>
      </c>
      <c r="H18" s="22">
        <v>390</v>
      </c>
      <c r="I18" s="22">
        <v>1.79</v>
      </c>
      <c r="J18" s="22">
        <v>7</v>
      </c>
      <c r="K18" s="22">
        <v>390</v>
      </c>
      <c r="L18" s="26">
        <f>(C18/F18)*100</f>
        <v>0</v>
      </c>
      <c r="M18" s="26">
        <f t="shared" si="3"/>
        <v>100</v>
      </c>
      <c r="N18" s="27" t="s">
        <v>33</v>
      </c>
    </row>
    <row r="19" spans="1:14" s="25" customFormat="1" ht="18" hidden="1" x14ac:dyDescent="0.35">
      <c r="A19" s="22" t="s">
        <v>28</v>
      </c>
      <c r="B19" s="22" t="s">
        <v>35</v>
      </c>
      <c r="C19" s="27">
        <v>0</v>
      </c>
      <c r="D19" s="27">
        <v>0</v>
      </c>
      <c r="E19" s="27">
        <v>0</v>
      </c>
      <c r="F19" s="28">
        <f>(G19/H19)*100</f>
        <v>0.25641025641025639</v>
      </c>
      <c r="G19" s="22">
        <v>1</v>
      </c>
      <c r="H19" s="22">
        <v>390</v>
      </c>
      <c r="I19" s="28">
        <f>(J19/K19)*100</f>
        <v>0.25641025641025639</v>
      </c>
      <c r="J19" s="40">
        <v>1</v>
      </c>
      <c r="K19" s="22">
        <v>390</v>
      </c>
      <c r="L19" s="26">
        <f t="shared" si="2"/>
        <v>0</v>
      </c>
      <c r="M19" s="26">
        <f t="shared" si="3"/>
        <v>100</v>
      </c>
      <c r="N19" s="27" t="s">
        <v>36</v>
      </c>
    </row>
    <row r="20" spans="1:14" s="25" customFormat="1" ht="18" hidden="1" x14ac:dyDescent="0.35">
      <c r="A20" s="22" t="s">
        <v>28</v>
      </c>
      <c r="B20" s="22" t="s">
        <v>37</v>
      </c>
      <c r="C20" s="27">
        <v>0</v>
      </c>
      <c r="D20" s="27">
        <v>0</v>
      </c>
      <c r="E20" s="27">
        <v>0</v>
      </c>
      <c r="F20" s="28">
        <f>G20/H20*100</f>
        <v>51.282051282051277</v>
      </c>
      <c r="G20" s="22">
        <v>200</v>
      </c>
      <c r="H20" s="22">
        <v>390</v>
      </c>
      <c r="I20" s="28">
        <f>J20/K20*100</f>
        <v>51.282051282051277</v>
      </c>
      <c r="J20" s="22">
        <v>200</v>
      </c>
      <c r="K20" s="22">
        <v>390</v>
      </c>
      <c r="L20" s="26">
        <f t="shared" si="2"/>
        <v>0</v>
      </c>
      <c r="M20" s="26">
        <f t="shared" si="3"/>
        <v>100</v>
      </c>
      <c r="N20" s="27" t="s">
        <v>36</v>
      </c>
    </row>
    <row r="21" spans="1:14" s="25" customFormat="1" ht="18" hidden="1" x14ac:dyDescent="0.35">
      <c r="A21" s="22" t="s">
        <v>28</v>
      </c>
      <c r="B21" s="22" t="s">
        <v>38</v>
      </c>
      <c r="C21" s="27">
        <v>0</v>
      </c>
      <c r="D21" s="27">
        <v>0</v>
      </c>
      <c r="E21" s="27">
        <v>0</v>
      </c>
      <c r="F21" s="22">
        <f>G21/H21*100</f>
        <v>1025</v>
      </c>
      <c r="G21" s="22">
        <v>41</v>
      </c>
      <c r="H21" s="22">
        <v>4</v>
      </c>
      <c r="I21" s="22">
        <f>J21/K21*100</f>
        <v>1025</v>
      </c>
      <c r="J21" s="22">
        <v>41</v>
      </c>
      <c r="K21" s="22">
        <v>4</v>
      </c>
      <c r="L21" s="26">
        <f t="shared" si="2"/>
        <v>0</v>
      </c>
      <c r="M21" s="26">
        <f t="shared" si="3"/>
        <v>100</v>
      </c>
      <c r="N21" s="27" t="s">
        <v>39</v>
      </c>
    </row>
    <row r="22" spans="1:14" s="25" customFormat="1" ht="18" hidden="1" x14ac:dyDescent="0.35">
      <c r="A22" s="22" t="s">
        <v>28</v>
      </c>
      <c r="B22" s="22" t="s">
        <v>40</v>
      </c>
      <c r="C22" s="27">
        <v>0</v>
      </c>
      <c r="D22" s="27">
        <v>0</v>
      </c>
      <c r="E22" s="27">
        <v>0</v>
      </c>
      <c r="F22" s="22">
        <f t="shared" ref="F22:F24" si="4">G22/H22*100</f>
        <v>100</v>
      </c>
      <c r="G22" s="22">
        <v>4</v>
      </c>
      <c r="H22" s="22">
        <v>4</v>
      </c>
      <c r="I22" s="22">
        <f t="shared" ref="I22" si="5">J22/K22*100</f>
        <v>100</v>
      </c>
      <c r="J22" s="22">
        <v>4</v>
      </c>
      <c r="K22" s="22">
        <v>4</v>
      </c>
      <c r="L22" s="26">
        <f t="shared" si="2"/>
        <v>0</v>
      </c>
      <c r="M22" s="26">
        <f t="shared" si="3"/>
        <v>100</v>
      </c>
      <c r="N22" s="27" t="s">
        <v>41</v>
      </c>
    </row>
    <row r="23" spans="1:14" s="25" customFormat="1" ht="18" hidden="1" x14ac:dyDescent="0.35">
      <c r="A23" s="22" t="s">
        <v>28</v>
      </c>
      <c r="B23" s="22" t="s">
        <v>42</v>
      </c>
      <c r="C23" s="27">
        <v>0</v>
      </c>
      <c r="D23" s="27">
        <v>0</v>
      </c>
      <c r="E23" s="27">
        <v>0</v>
      </c>
      <c r="F23" s="22">
        <f t="shared" ref="F23" si="6">G23/H23*100</f>
        <v>100</v>
      </c>
      <c r="G23" s="22">
        <v>4</v>
      </c>
      <c r="H23" s="22">
        <v>4</v>
      </c>
      <c r="I23" s="22">
        <f t="shared" ref="I23:I24" si="7">J23/K23*100</f>
        <v>100</v>
      </c>
      <c r="J23" s="22">
        <v>4</v>
      </c>
      <c r="K23" s="22">
        <v>4</v>
      </c>
      <c r="L23" s="26">
        <f t="shared" si="2"/>
        <v>0</v>
      </c>
      <c r="M23" s="26">
        <f t="shared" si="3"/>
        <v>100</v>
      </c>
      <c r="N23" s="27" t="s">
        <v>43</v>
      </c>
    </row>
    <row r="24" spans="1:14" s="25" customFormat="1" ht="18" hidden="1" x14ac:dyDescent="0.35">
      <c r="A24" s="22" t="s">
        <v>28</v>
      </c>
      <c r="B24" s="22" t="s">
        <v>44</v>
      </c>
      <c r="C24" s="27">
        <v>0</v>
      </c>
      <c r="D24" s="27">
        <v>0</v>
      </c>
      <c r="E24" s="27">
        <v>0</v>
      </c>
      <c r="F24" s="22">
        <f t="shared" si="4"/>
        <v>100</v>
      </c>
      <c r="G24" s="22">
        <v>5</v>
      </c>
      <c r="H24" s="22">
        <v>5</v>
      </c>
      <c r="I24" s="22">
        <f t="shared" si="7"/>
        <v>100</v>
      </c>
      <c r="J24" s="40">
        <v>5</v>
      </c>
      <c r="K24" s="22">
        <v>5</v>
      </c>
      <c r="L24" s="26">
        <f t="shared" si="2"/>
        <v>0</v>
      </c>
      <c r="M24" s="26">
        <f t="shared" si="3"/>
        <v>100</v>
      </c>
      <c r="N24" s="27" t="s">
        <v>45</v>
      </c>
    </row>
    <row r="25" spans="1:14" s="25" customFormat="1" ht="18" hidden="1" x14ac:dyDescent="0.35">
      <c r="A25" s="22" t="s">
        <v>47</v>
      </c>
      <c r="B25" s="22" t="s">
        <v>46</v>
      </c>
      <c r="C25" s="22">
        <v>0.17</v>
      </c>
      <c r="D25" s="22"/>
      <c r="E25" s="22"/>
      <c r="F25" s="22">
        <v>0.16</v>
      </c>
      <c r="G25" s="22"/>
      <c r="H25" s="22"/>
      <c r="I25" s="22">
        <v>0.16</v>
      </c>
      <c r="J25" s="22"/>
      <c r="K25" s="22"/>
      <c r="L25" s="26">
        <f>(I25/C25)*100</f>
        <v>94.117647058823522</v>
      </c>
      <c r="M25" s="26">
        <f>(I25/F25)*100</f>
        <v>100</v>
      </c>
      <c r="N25" s="27" t="s">
        <v>48</v>
      </c>
    </row>
    <row r="26" spans="1:14" s="25" customFormat="1" ht="18" hidden="1" x14ac:dyDescent="0.35">
      <c r="A26" s="22" t="s">
        <v>47</v>
      </c>
      <c r="B26" s="22" t="s">
        <v>49</v>
      </c>
      <c r="C26" s="28">
        <f>((D26/E26)-1)*100</f>
        <v>2.1077283372365363</v>
      </c>
      <c r="D26" s="22">
        <v>43.6</v>
      </c>
      <c r="E26" s="22">
        <v>42.7</v>
      </c>
      <c r="F26" s="28">
        <f>((G26/H26)-1)*100</f>
        <v>2.0642201834862428</v>
      </c>
      <c r="G26" s="22">
        <v>44.5</v>
      </c>
      <c r="H26" s="22">
        <v>43.6</v>
      </c>
      <c r="I26" s="28">
        <f>((J26/K26)-1)*100</f>
        <v>2.0642201834862428</v>
      </c>
      <c r="J26" s="22">
        <v>44.5</v>
      </c>
      <c r="K26" s="22">
        <v>43.6</v>
      </c>
      <c r="L26" s="26">
        <f>+(J26/D26)*100</f>
        <v>102.06422018348624</v>
      </c>
      <c r="M26" s="26">
        <f>+(J26/H26)*100</f>
        <v>102.06422018348624</v>
      </c>
      <c r="N26" s="27" t="s">
        <v>50</v>
      </c>
    </row>
    <row r="27" spans="1:14" s="25" customFormat="1" ht="18" hidden="1" x14ac:dyDescent="0.35">
      <c r="A27" s="22" t="s">
        <v>47</v>
      </c>
      <c r="B27" s="22" t="s">
        <v>51</v>
      </c>
      <c r="C27" s="22">
        <v>100</v>
      </c>
      <c r="D27" s="22">
        <v>3</v>
      </c>
      <c r="E27" s="22">
        <v>3</v>
      </c>
      <c r="F27" s="22">
        <v>0</v>
      </c>
      <c r="G27" s="22">
        <v>0</v>
      </c>
      <c r="H27" s="22">
        <v>3</v>
      </c>
      <c r="I27" s="22">
        <v>0</v>
      </c>
      <c r="J27" s="22">
        <v>0</v>
      </c>
      <c r="K27" s="22">
        <v>3</v>
      </c>
      <c r="L27" s="24">
        <f>I27/C27*100</f>
        <v>0</v>
      </c>
      <c r="M27" s="24">
        <v>100</v>
      </c>
      <c r="N27" s="27" t="s">
        <v>52</v>
      </c>
    </row>
    <row r="28" spans="1:14" s="25" customFormat="1" ht="18" hidden="1" x14ac:dyDescent="0.35">
      <c r="A28" s="22" t="s">
        <v>47</v>
      </c>
      <c r="B28" s="22" t="s">
        <v>53</v>
      </c>
      <c r="C28" s="22">
        <v>73.08</v>
      </c>
      <c r="D28" s="22">
        <v>19</v>
      </c>
      <c r="E28" s="22">
        <v>26</v>
      </c>
      <c r="F28" s="22">
        <v>80.77</v>
      </c>
      <c r="G28" s="22">
        <v>21</v>
      </c>
      <c r="H28" s="22">
        <v>26</v>
      </c>
      <c r="I28" s="22">
        <v>80.77</v>
      </c>
      <c r="J28" s="22">
        <v>21</v>
      </c>
      <c r="K28" s="22">
        <v>26</v>
      </c>
      <c r="L28" s="24">
        <f>I28/C28*100</f>
        <v>110.52271483305967</v>
      </c>
      <c r="M28" s="24">
        <v>100</v>
      </c>
      <c r="N28" s="27" t="s">
        <v>54</v>
      </c>
    </row>
    <row r="29" spans="1:14" s="25" customFormat="1" ht="18" hidden="1" x14ac:dyDescent="0.35">
      <c r="A29" s="22" t="s">
        <v>47</v>
      </c>
      <c r="B29" s="22" t="s">
        <v>55</v>
      </c>
      <c r="C29" s="22">
        <v>3.23</v>
      </c>
      <c r="D29" s="22">
        <v>2</v>
      </c>
      <c r="E29" s="22">
        <v>62</v>
      </c>
      <c r="F29" s="22">
        <v>3.9</v>
      </c>
      <c r="G29" s="22">
        <v>3</v>
      </c>
      <c r="H29" s="22">
        <v>77</v>
      </c>
      <c r="I29" s="28">
        <f>J29/K29*100</f>
        <v>3.8961038961038961</v>
      </c>
      <c r="J29" s="22">
        <v>3</v>
      </c>
      <c r="K29" s="22">
        <v>77</v>
      </c>
      <c r="L29" s="24">
        <f>I29/C29*100</f>
        <v>120.62241164408347</v>
      </c>
      <c r="M29" s="24">
        <v>100</v>
      </c>
      <c r="N29" s="27" t="s">
        <v>54</v>
      </c>
    </row>
    <row r="30" spans="1:14" s="25" customFormat="1" ht="18" hidden="1" x14ac:dyDescent="0.35">
      <c r="A30" s="22" t="s">
        <v>47</v>
      </c>
      <c r="B30" s="22" t="s">
        <v>56</v>
      </c>
      <c r="C30" s="22">
        <v>100</v>
      </c>
      <c r="D30" s="22">
        <v>62</v>
      </c>
      <c r="E30" s="22">
        <v>62</v>
      </c>
      <c r="F30" s="22">
        <v>100</v>
      </c>
      <c r="G30" s="22">
        <v>77</v>
      </c>
      <c r="H30" s="22">
        <v>77</v>
      </c>
      <c r="I30" s="22">
        <v>100</v>
      </c>
      <c r="J30" s="40">
        <v>77</v>
      </c>
      <c r="K30" s="22">
        <v>77</v>
      </c>
      <c r="L30" s="24">
        <f>I30/C30*100</f>
        <v>100</v>
      </c>
      <c r="M30" s="24">
        <v>100</v>
      </c>
      <c r="N30" s="27" t="s">
        <v>54</v>
      </c>
    </row>
    <row r="31" spans="1:14" s="25" customFormat="1" ht="18" hidden="1" x14ac:dyDescent="0.35">
      <c r="A31" s="22" t="s">
        <v>57</v>
      </c>
      <c r="B31" s="22" t="s">
        <v>58</v>
      </c>
      <c r="C31" s="28">
        <f>D31/E31</f>
        <v>0.51096774193548389</v>
      </c>
      <c r="D31" s="22">
        <v>7.92</v>
      </c>
      <c r="E31" s="22">
        <v>15.5</v>
      </c>
      <c r="F31" s="28">
        <f>G31/H31</f>
        <v>0.51290322580645165</v>
      </c>
      <c r="G31" s="22">
        <v>7.95</v>
      </c>
      <c r="H31" s="22">
        <v>15.5</v>
      </c>
      <c r="I31" s="28">
        <f>J31/K31</f>
        <v>0.51419354838709674</v>
      </c>
      <c r="J31" s="22">
        <v>7.97</v>
      </c>
      <c r="K31" s="22">
        <v>15.5</v>
      </c>
      <c r="L31" s="24">
        <f>((C31-I31)*100)/C31+100</f>
        <v>99.368686868686879</v>
      </c>
      <c r="M31" s="24">
        <f>((F31-I31)*100)/F31+100</f>
        <v>99.748427672955984</v>
      </c>
      <c r="N31" s="22" t="s">
        <v>59</v>
      </c>
    </row>
    <row r="32" spans="1:14" s="25" customFormat="1" ht="18" hidden="1" x14ac:dyDescent="0.35">
      <c r="A32" s="22" t="s">
        <v>57</v>
      </c>
      <c r="B32" s="22" t="s">
        <v>60</v>
      </c>
      <c r="C32" s="22">
        <v>70.599999999999994</v>
      </c>
      <c r="D32" s="22">
        <v>706</v>
      </c>
      <c r="E32" s="22">
        <v>10</v>
      </c>
      <c r="F32" s="22">
        <f>G32-H32</f>
        <v>-4.9999999999999933E-2</v>
      </c>
      <c r="G32" s="22">
        <v>0.66</v>
      </c>
      <c r="H32" s="22">
        <v>0.71</v>
      </c>
      <c r="I32" s="22">
        <f>J32-K32</f>
        <v>-4.9999999999999933E-2</v>
      </c>
      <c r="J32" s="22">
        <v>0.66</v>
      </c>
      <c r="K32" s="22">
        <v>0.71</v>
      </c>
      <c r="L32" s="24">
        <f>(I32/C32)*100</f>
        <v>-7.0821529745042411E-2</v>
      </c>
      <c r="M32" s="24">
        <f>(I32/F32)*100</f>
        <v>100</v>
      </c>
      <c r="N32" s="27" t="s">
        <v>61</v>
      </c>
    </row>
    <row r="33" spans="1:14" s="25" customFormat="1" ht="18" hidden="1" x14ac:dyDescent="0.35">
      <c r="A33" s="22" t="s">
        <v>57</v>
      </c>
      <c r="B33" s="22" t="s">
        <v>62</v>
      </c>
      <c r="C33" s="22">
        <v>100</v>
      </c>
      <c r="D33" s="22">
        <v>4</v>
      </c>
      <c r="E33" s="22">
        <v>4</v>
      </c>
      <c r="F33" s="22">
        <v>100</v>
      </c>
      <c r="G33" s="22">
        <v>9</v>
      </c>
      <c r="H33" s="22">
        <v>9</v>
      </c>
      <c r="I33" s="22">
        <v>100</v>
      </c>
      <c r="J33" s="22">
        <v>9</v>
      </c>
      <c r="K33" s="22">
        <v>9</v>
      </c>
      <c r="L33" s="24">
        <f>(I33/C33)*100</f>
        <v>100</v>
      </c>
      <c r="M33" s="24">
        <f>(I33/F33)*100</f>
        <v>100</v>
      </c>
      <c r="N33" s="27" t="s">
        <v>63</v>
      </c>
    </row>
    <row r="34" spans="1:14" s="25" customFormat="1" ht="18" hidden="1" x14ac:dyDescent="0.35">
      <c r="A34" s="22" t="s">
        <v>57</v>
      </c>
      <c r="B34" s="22" t="s">
        <v>64</v>
      </c>
      <c r="C34" s="22">
        <v>1.9</v>
      </c>
      <c r="D34" s="22">
        <v>270</v>
      </c>
      <c r="E34" s="22">
        <v>142</v>
      </c>
      <c r="F34" s="22">
        <v>10.61</v>
      </c>
      <c r="G34" s="22">
        <v>5105.3100000000004</v>
      </c>
      <c r="H34" s="22">
        <v>481</v>
      </c>
      <c r="I34" s="22">
        <v>10.43</v>
      </c>
      <c r="J34" s="22">
        <v>5037</v>
      </c>
      <c r="K34" s="22">
        <v>483</v>
      </c>
      <c r="L34" s="24">
        <f>(I34/C34)*100</f>
        <v>548.94736842105272</v>
      </c>
      <c r="M34" s="24">
        <f>(I34/F34)*100</f>
        <v>98.303487276154584</v>
      </c>
      <c r="N34" s="27" t="s">
        <v>65</v>
      </c>
    </row>
    <row r="35" spans="1:14" s="25" customFormat="1" ht="18" hidden="1" x14ac:dyDescent="0.35">
      <c r="A35" s="22" t="s">
        <v>57</v>
      </c>
      <c r="B35" s="22" t="s">
        <v>66</v>
      </c>
      <c r="C35" s="22">
        <v>100</v>
      </c>
      <c r="D35" s="22">
        <v>7</v>
      </c>
      <c r="E35" s="22">
        <v>7</v>
      </c>
      <c r="F35" s="22">
        <v>100</v>
      </c>
      <c r="G35" s="22">
        <v>4</v>
      </c>
      <c r="H35" s="22">
        <v>4</v>
      </c>
      <c r="I35" s="22">
        <v>100</v>
      </c>
      <c r="J35" s="22">
        <v>4</v>
      </c>
      <c r="K35" s="22">
        <v>4</v>
      </c>
      <c r="L35" s="24">
        <f>(I35/C35)*100</f>
        <v>100</v>
      </c>
      <c r="M35" s="24">
        <f>(I35/F35)*100</f>
        <v>100</v>
      </c>
      <c r="N35" s="27" t="s">
        <v>67</v>
      </c>
    </row>
    <row r="36" spans="1:14" s="25" customFormat="1" ht="18" hidden="1" x14ac:dyDescent="0.35">
      <c r="A36" s="22" t="s">
        <v>57</v>
      </c>
      <c r="B36" s="22" t="s">
        <v>68</v>
      </c>
      <c r="C36" s="22">
        <v>100</v>
      </c>
      <c r="D36" s="22">
        <v>2</v>
      </c>
      <c r="E36" s="22">
        <v>2</v>
      </c>
      <c r="F36" s="22">
        <v>100</v>
      </c>
      <c r="G36" s="22">
        <v>2</v>
      </c>
      <c r="H36" s="22">
        <v>2</v>
      </c>
      <c r="I36" s="22">
        <v>100</v>
      </c>
      <c r="J36" s="22">
        <v>2</v>
      </c>
      <c r="K36" s="22">
        <v>2</v>
      </c>
      <c r="L36" s="24">
        <f>(I36/C36)*100</f>
        <v>100</v>
      </c>
      <c r="M36" s="24">
        <f>(I36/F36)*100</f>
        <v>100</v>
      </c>
      <c r="N36" s="27" t="s">
        <v>69</v>
      </c>
    </row>
    <row r="37" spans="1:14" s="25" customFormat="1" ht="18" hidden="1" x14ac:dyDescent="0.35">
      <c r="A37" s="22" t="s">
        <v>57</v>
      </c>
      <c r="B37" s="22" t="s">
        <v>70</v>
      </c>
      <c r="C37" s="22">
        <v>89.74</v>
      </c>
      <c r="D37" s="22">
        <v>35</v>
      </c>
      <c r="E37" s="22">
        <v>39</v>
      </c>
      <c r="F37" s="28">
        <f>((G37/H37)-1)*100</f>
        <v>-11.016949152542377</v>
      </c>
      <c r="G37" s="22">
        <v>105</v>
      </c>
      <c r="H37" s="22">
        <v>118</v>
      </c>
      <c r="I37" s="22">
        <v>5.93</v>
      </c>
      <c r="J37" s="22">
        <v>125</v>
      </c>
      <c r="K37" s="22">
        <v>118</v>
      </c>
      <c r="L37" s="24">
        <f>((((D37/E37)-(J37/K37))*100)/(D37/E37))+100</f>
        <v>81.961259079903144</v>
      </c>
      <c r="M37" s="24">
        <f>((((G37/H37)-(J37/K37))*100)/(G37/H37))+100</f>
        <v>80.952380952380935</v>
      </c>
      <c r="N37" s="27" t="s">
        <v>71</v>
      </c>
    </row>
    <row r="38" spans="1:14" s="25" customFormat="1" ht="18" hidden="1" x14ac:dyDescent="0.35">
      <c r="A38" s="22" t="s">
        <v>57</v>
      </c>
      <c r="B38" s="22" t="s">
        <v>72</v>
      </c>
      <c r="C38" s="22">
        <v>100</v>
      </c>
      <c r="D38" s="22">
        <v>7</v>
      </c>
      <c r="E38" s="22">
        <v>7</v>
      </c>
      <c r="F38" s="22">
        <v>100</v>
      </c>
      <c r="G38" s="22">
        <v>4</v>
      </c>
      <c r="H38" s="22">
        <v>4</v>
      </c>
      <c r="I38" s="22">
        <v>100</v>
      </c>
      <c r="J38" s="22">
        <v>4</v>
      </c>
      <c r="K38" s="22">
        <v>4</v>
      </c>
      <c r="L38" s="24">
        <f t="shared" ref="L38:L49" si="8">(I38/C38)*100</f>
        <v>100</v>
      </c>
      <c r="M38" s="24">
        <f t="shared" ref="M38:M49" si="9">(I38/F38)*100</f>
        <v>100</v>
      </c>
      <c r="N38" s="27" t="s">
        <v>73</v>
      </c>
    </row>
    <row r="39" spans="1:14" s="25" customFormat="1" ht="18" hidden="1" x14ac:dyDescent="0.35">
      <c r="A39" s="22" t="s">
        <v>57</v>
      </c>
      <c r="B39" s="22" t="s">
        <v>74</v>
      </c>
      <c r="C39" s="22">
        <v>100</v>
      </c>
      <c r="D39" s="22">
        <v>4</v>
      </c>
      <c r="E39" s="22">
        <v>4</v>
      </c>
      <c r="F39" s="22">
        <v>100</v>
      </c>
      <c r="G39" s="22">
        <v>36</v>
      </c>
      <c r="H39" s="22">
        <v>36</v>
      </c>
      <c r="I39" s="22">
        <v>100</v>
      </c>
      <c r="J39" s="22">
        <v>36</v>
      </c>
      <c r="K39" s="22">
        <v>36</v>
      </c>
      <c r="L39" s="24">
        <f t="shared" si="8"/>
        <v>100</v>
      </c>
      <c r="M39" s="24">
        <f t="shared" si="9"/>
        <v>100</v>
      </c>
      <c r="N39" s="27" t="s">
        <v>75</v>
      </c>
    </row>
    <row r="40" spans="1:14" s="25" customFormat="1" ht="18" hidden="1" x14ac:dyDescent="0.35">
      <c r="A40" s="22" t="s">
        <v>57</v>
      </c>
      <c r="B40" s="22" t="s">
        <v>76</v>
      </c>
      <c r="C40" s="22">
        <v>100</v>
      </c>
      <c r="D40" s="22">
        <v>1</v>
      </c>
      <c r="E40" s="22">
        <v>1</v>
      </c>
      <c r="F40" s="22">
        <v>100</v>
      </c>
      <c r="G40" s="22">
        <v>1</v>
      </c>
      <c r="H40" s="22">
        <v>1</v>
      </c>
      <c r="I40" s="22">
        <v>100</v>
      </c>
      <c r="J40" s="22">
        <v>1</v>
      </c>
      <c r="K40" s="22">
        <v>1</v>
      </c>
      <c r="L40" s="24">
        <f t="shared" si="8"/>
        <v>100</v>
      </c>
      <c r="M40" s="24">
        <f t="shared" si="9"/>
        <v>100</v>
      </c>
      <c r="N40" s="27" t="s">
        <v>77</v>
      </c>
    </row>
    <row r="41" spans="1:14" s="25" customFormat="1" ht="18" hidden="1" x14ac:dyDescent="0.35">
      <c r="A41" s="22" t="s">
        <v>78</v>
      </c>
      <c r="B41" s="22" t="s">
        <v>79</v>
      </c>
      <c r="C41" s="22">
        <v>0.17</v>
      </c>
      <c r="D41" s="22"/>
      <c r="E41" s="22"/>
      <c r="F41" s="22">
        <v>0.16</v>
      </c>
      <c r="G41" s="22"/>
      <c r="H41" s="22"/>
      <c r="I41" s="22">
        <v>0.16</v>
      </c>
      <c r="J41" s="24"/>
      <c r="K41" s="24"/>
      <c r="L41" s="26">
        <f>(I41/C41)*100</f>
        <v>94.117647058823522</v>
      </c>
      <c r="M41" s="24">
        <f>(I41/F41)*100</f>
        <v>100</v>
      </c>
      <c r="N41" s="27" t="s">
        <v>48</v>
      </c>
    </row>
    <row r="42" spans="1:14" s="25" customFormat="1" ht="18" hidden="1" x14ac:dyDescent="0.35">
      <c r="A42" s="22" t="s">
        <v>78</v>
      </c>
      <c r="B42" s="22" t="s">
        <v>80</v>
      </c>
      <c r="C42" s="22">
        <v>80.5</v>
      </c>
      <c r="D42" s="22">
        <v>2761</v>
      </c>
      <c r="E42" s="22">
        <v>3430</v>
      </c>
      <c r="F42" s="22">
        <v>80.5</v>
      </c>
      <c r="G42" s="22">
        <v>2761</v>
      </c>
      <c r="H42" s="22">
        <v>3430</v>
      </c>
      <c r="I42" s="28">
        <f>J42/K42*100</f>
        <v>75.417922718553029</v>
      </c>
      <c r="J42" s="39">
        <v>2752</v>
      </c>
      <c r="K42" s="39">
        <v>3649</v>
      </c>
      <c r="L42" s="24">
        <f t="shared" si="8"/>
        <v>93.686860519941646</v>
      </c>
      <c r="M42" s="24">
        <f t="shared" si="9"/>
        <v>93.686860519941646</v>
      </c>
      <c r="N42" s="27" t="s">
        <v>81</v>
      </c>
    </row>
    <row r="43" spans="1:14" s="25" customFormat="1" ht="18" hidden="1" x14ac:dyDescent="0.35">
      <c r="A43" s="22" t="s">
        <v>78</v>
      </c>
      <c r="B43" s="22" t="s">
        <v>82</v>
      </c>
      <c r="C43" s="28">
        <f>(D43/E43)*100</f>
        <v>98.792461347477712</v>
      </c>
      <c r="D43" s="22">
        <v>26262</v>
      </c>
      <c r="E43" s="22">
        <v>26583</v>
      </c>
      <c r="F43" s="28">
        <f>(G43/H43)*100</f>
        <v>98.881062767475044</v>
      </c>
      <c r="G43" s="22">
        <v>22181</v>
      </c>
      <c r="H43" s="22">
        <v>22432</v>
      </c>
      <c r="I43" s="28">
        <f>(J43/K43)*100</f>
        <v>99.484302904188908</v>
      </c>
      <c r="J43" s="39">
        <v>21992</v>
      </c>
      <c r="K43" s="39">
        <v>22106</v>
      </c>
      <c r="L43" s="24">
        <f t="shared" si="8"/>
        <v>100.70029792483641</v>
      </c>
      <c r="M43" s="24">
        <f t="shared" si="9"/>
        <v>100.61006639677046</v>
      </c>
      <c r="N43" s="27" t="s">
        <v>83</v>
      </c>
    </row>
    <row r="44" spans="1:14" s="25" customFormat="1" ht="18" hidden="1" x14ac:dyDescent="0.35">
      <c r="A44" s="22" t="s">
        <v>78</v>
      </c>
      <c r="B44" s="22" t="s">
        <v>84</v>
      </c>
      <c r="C44" s="28">
        <f t="shared" ref="C44:C49" si="10">(D44/E44)*100</f>
        <v>10.464611376465479</v>
      </c>
      <c r="D44" s="22">
        <v>241</v>
      </c>
      <c r="E44" s="22">
        <v>2303</v>
      </c>
      <c r="F44" s="28">
        <f t="shared" ref="F44:F49" si="11">(G44/H44)*100</f>
        <v>11.436829066886871</v>
      </c>
      <c r="G44" s="22">
        <v>277</v>
      </c>
      <c r="H44" s="22">
        <v>2422</v>
      </c>
      <c r="I44" s="28">
        <f t="shared" ref="I44:I49" si="12">(J44/K44)*100</f>
        <v>11.436829066886871</v>
      </c>
      <c r="J44" s="39">
        <v>277</v>
      </c>
      <c r="K44" s="39">
        <v>2422</v>
      </c>
      <c r="L44" s="24">
        <f t="shared" si="8"/>
        <v>109.29052838606002</v>
      </c>
      <c r="M44" s="24">
        <f t="shared" si="9"/>
        <v>100</v>
      </c>
      <c r="N44" s="27" t="s">
        <v>85</v>
      </c>
    </row>
    <row r="45" spans="1:14" s="25" customFormat="1" ht="18" hidden="1" x14ac:dyDescent="0.35">
      <c r="A45" s="22" t="s">
        <v>78</v>
      </c>
      <c r="B45" s="22" t="s">
        <v>86</v>
      </c>
      <c r="C45" s="28">
        <f t="shared" si="10"/>
        <v>48.358845480161449</v>
      </c>
      <c r="D45" s="22">
        <v>12700</v>
      </c>
      <c r="E45" s="22">
        <v>26262</v>
      </c>
      <c r="F45" s="28">
        <f t="shared" si="11"/>
        <v>48.684043766634275</v>
      </c>
      <c r="G45" s="22">
        <v>11524</v>
      </c>
      <c r="H45" s="22">
        <v>23671</v>
      </c>
      <c r="I45" s="28">
        <f t="shared" si="12"/>
        <v>49.704437977446339</v>
      </c>
      <c r="J45" s="39">
        <v>10931</v>
      </c>
      <c r="K45" s="39">
        <v>21992</v>
      </c>
      <c r="L45" s="24">
        <f t="shared" si="8"/>
        <v>102.78251576092092</v>
      </c>
      <c r="M45" s="24">
        <f t="shared" si="9"/>
        <v>102.09595204478761</v>
      </c>
      <c r="N45" s="27" t="s">
        <v>87</v>
      </c>
    </row>
    <row r="46" spans="1:14" s="25" customFormat="1" ht="18" hidden="1" x14ac:dyDescent="0.35">
      <c r="A46" s="22" t="s">
        <v>78</v>
      </c>
      <c r="B46" s="22" t="s">
        <v>88</v>
      </c>
      <c r="C46" s="28">
        <f t="shared" si="10"/>
        <v>50.641509433962263</v>
      </c>
      <c r="D46" s="22">
        <v>1342</v>
      </c>
      <c r="E46" s="22">
        <v>2650</v>
      </c>
      <c r="F46" s="28">
        <f t="shared" si="11"/>
        <v>69.302325581395351</v>
      </c>
      <c r="G46" s="22">
        <v>1490</v>
      </c>
      <c r="H46" s="22">
        <v>2150</v>
      </c>
      <c r="I46" s="28">
        <f t="shared" si="12"/>
        <v>70.900391474554155</v>
      </c>
      <c r="J46" s="39">
        <v>1630</v>
      </c>
      <c r="K46" s="39">
        <v>2299</v>
      </c>
      <c r="L46" s="24">
        <f t="shared" si="8"/>
        <v>140.00449881338938</v>
      </c>
      <c r="M46" s="24">
        <f t="shared" si="9"/>
        <v>102.30593400690699</v>
      </c>
      <c r="N46" s="27" t="s">
        <v>83</v>
      </c>
    </row>
    <row r="47" spans="1:14" s="25" customFormat="1" ht="18" hidden="1" x14ac:dyDescent="0.35">
      <c r="A47" s="22" t="s">
        <v>78</v>
      </c>
      <c r="B47" s="22" t="s">
        <v>89</v>
      </c>
      <c r="C47" s="22">
        <f t="shared" si="10"/>
        <v>100</v>
      </c>
      <c r="D47" s="22">
        <v>30</v>
      </c>
      <c r="E47" s="22">
        <v>30</v>
      </c>
      <c r="F47" s="22">
        <f t="shared" si="11"/>
        <v>100</v>
      </c>
      <c r="G47" s="22">
        <v>34</v>
      </c>
      <c r="H47" s="22">
        <v>34</v>
      </c>
      <c r="I47" s="22">
        <f t="shared" si="12"/>
        <v>114.70588235294117</v>
      </c>
      <c r="J47" s="39">
        <v>39</v>
      </c>
      <c r="K47" s="39">
        <v>34</v>
      </c>
      <c r="L47" s="24">
        <f t="shared" si="8"/>
        <v>114.70588235294117</v>
      </c>
      <c r="M47" s="24">
        <f t="shared" si="9"/>
        <v>114.70588235294117</v>
      </c>
      <c r="N47" s="27" t="s">
        <v>90</v>
      </c>
    </row>
    <row r="48" spans="1:14" s="25" customFormat="1" ht="18" hidden="1" x14ac:dyDescent="0.35">
      <c r="A48" s="22" t="s">
        <v>78</v>
      </c>
      <c r="B48" s="22" t="s">
        <v>91</v>
      </c>
      <c r="C48" s="22">
        <f t="shared" si="10"/>
        <v>100</v>
      </c>
      <c r="D48" s="28">
        <v>11943035649.280001</v>
      </c>
      <c r="E48" s="28">
        <v>11943035649.280001</v>
      </c>
      <c r="F48" s="28">
        <f t="shared" si="11"/>
        <v>94.296096026543879</v>
      </c>
      <c r="G48" s="28">
        <v>10455440733.719999</v>
      </c>
      <c r="H48" s="28">
        <v>11087882928.66</v>
      </c>
      <c r="I48" s="28">
        <f t="shared" si="12"/>
        <v>94.122906449130227</v>
      </c>
      <c r="J48" s="39">
        <v>9926113644.3099995</v>
      </c>
      <c r="K48" s="39">
        <v>10545906431.049999</v>
      </c>
      <c r="L48" s="24">
        <f t="shared" si="8"/>
        <v>94.122906449130227</v>
      </c>
      <c r="M48" s="24">
        <f t="shared" si="9"/>
        <v>99.81633430787538</v>
      </c>
      <c r="N48" s="27" t="s">
        <v>92</v>
      </c>
    </row>
    <row r="49" spans="1:14" s="25" customFormat="1" ht="18" hidden="1" x14ac:dyDescent="0.35">
      <c r="A49" s="22" t="s">
        <v>78</v>
      </c>
      <c r="B49" s="22" t="s">
        <v>93</v>
      </c>
      <c r="C49" s="22">
        <f t="shared" si="10"/>
        <v>100</v>
      </c>
      <c r="D49" s="32">
        <v>5637876419.7600002</v>
      </c>
      <c r="E49" s="32">
        <v>5637876419.7600002</v>
      </c>
      <c r="F49" s="22">
        <f t="shared" si="11"/>
        <v>100</v>
      </c>
      <c r="G49" s="28">
        <v>5048786988</v>
      </c>
      <c r="H49" s="28">
        <v>5048786988</v>
      </c>
      <c r="I49" s="28">
        <f t="shared" si="12"/>
        <v>95.892918584150024</v>
      </c>
      <c r="J49" s="39">
        <v>4841429195.8900003</v>
      </c>
      <c r="K49" s="39">
        <v>5048786988</v>
      </c>
      <c r="L49" s="24">
        <f t="shared" si="8"/>
        <v>95.892918584150024</v>
      </c>
      <c r="M49" s="24">
        <f t="shared" si="9"/>
        <v>95.892918584150024</v>
      </c>
      <c r="N49" s="27" t="s">
        <v>94</v>
      </c>
    </row>
    <row r="50" spans="1:14" s="25" customFormat="1" ht="18" hidden="1" x14ac:dyDescent="0.35">
      <c r="A50" s="22" t="s">
        <v>95</v>
      </c>
      <c r="B50" s="22" t="s">
        <v>79</v>
      </c>
      <c r="C50" s="22">
        <v>0.17</v>
      </c>
      <c r="D50" s="22"/>
      <c r="E50" s="22"/>
      <c r="F50" s="22">
        <v>0.16</v>
      </c>
      <c r="G50" s="22"/>
      <c r="H50" s="22"/>
      <c r="I50" s="22">
        <v>0.16</v>
      </c>
      <c r="J50" s="24"/>
      <c r="K50" s="24"/>
      <c r="L50" s="26">
        <f>(I50/C50)*100</f>
        <v>94.117647058823522</v>
      </c>
      <c r="M50" s="24">
        <f>(I50/F50)*100</f>
        <v>100</v>
      </c>
      <c r="N50" s="27" t="s">
        <v>48</v>
      </c>
    </row>
    <row r="51" spans="1:14" s="25" customFormat="1" ht="38.25" hidden="1" customHeight="1" x14ac:dyDescent="0.35">
      <c r="A51" s="22" t="s">
        <v>95</v>
      </c>
      <c r="B51" s="22" t="s">
        <v>96</v>
      </c>
      <c r="C51" s="28">
        <f>D51/E51</f>
        <v>5.3298233884896096</v>
      </c>
      <c r="D51" s="22">
        <v>382660</v>
      </c>
      <c r="E51" s="22">
        <v>71796</v>
      </c>
      <c r="F51" s="28">
        <f>G51/H51</f>
        <v>10.419370930812622</v>
      </c>
      <c r="G51" s="22">
        <v>814576</v>
      </c>
      <c r="H51" s="22">
        <v>78179</v>
      </c>
      <c r="I51" s="28">
        <f>J51/K51</f>
        <v>6.5528467438678</v>
      </c>
      <c r="J51" s="39">
        <v>569829</v>
      </c>
      <c r="K51" s="24">
        <v>86959</v>
      </c>
      <c r="L51" s="24">
        <f>(I51/C51)*100</f>
        <v>122.9467895318906</v>
      </c>
      <c r="M51" s="24">
        <f>(I51/F51)*100</f>
        <v>62.891001648568178</v>
      </c>
      <c r="N51" s="23" t="s">
        <v>97</v>
      </c>
    </row>
    <row r="52" spans="1:14" s="25" customFormat="1" ht="18" hidden="1" x14ac:dyDescent="0.35">
      <c r="A52" s="22" t="s">
        <v>95</v>
      </c>
      <c r="B52" s="22" t="s">
        <v>109</v>
      </c>
      <c r="C52" s="25">
        <v>0</v>
      </c>
      <c r="D52" s="33">
        <v>0</v>
      </c>
      <c r="E52" s="33">
        <v>0</v>
      </c>
      <c r="F52" s="28">
        <f>(G52/H52)*100</f>
        <v>98.770022523702266</v>
      </c>
      <c r="G52" s="22">
        <v>37712.370000000003</v>
      </c>
      <c r="H52" s="22">
        <v>38182</v>
      </c>
      <c r="I52" s="28">
        <f>(J52/K52)*100</f>
        <v>88.589282657079266</v>
      </c>
      <c r="J52" s="39">
        <v>31047</v>
      </c>
      <c r="K52" s="24">
        <v>35046</v>
      </c>
      <c r="L52" s="24">
        <v>0</v>
      </c>
      <c r="M52" s="24">
        <f>(I52/F52)*100</f>
        <v>89.692479958501693</v>
      </c>
      <c r="N52" s="27" t="s">
        <v>99</v>
      </c>
    </row>
    <row r="53" spans="1:14" s="25" customFormat="1" ht="18" hidden="1" x14ac:dyDescent="0.35">
      <c r="A53" s="22" t="s">
        <v>95</v>
      </c>
      <c r="B53" s="22" t="s">
        <v>110</v>
      </c>
      <c r="C53" s="28">
        <f>((D53/E53)-1)*100</f>
        <v>-5.6389267849022318</v>
      </c>
      <c r="D53" s="22">
        <v>14525</v>
      </c>
      <c r="E53" s="22">
        <v>15393</v>
      </c>
      <c r="F53" s="28">
        <f>((G53/H53)-1)*100</f>
        <v>4.7186598760508014</v>
      </c>
      <c r="G53" s="22">
        <v>17066</v>
      </c>
      <c r="H53" s="22">
        <v>16297</v>
      </c>
      <c r="I53" s="28">
        <f>((J53/K53)-1)*100</f>
        <v>7.0749217647419815</v>
      </c>
      <c r="J53" s="39">
        <v>17450</v>
      </c>
      <c r="K53" s="24">
        <v>16297</v>
      </c>
      <c r="L53" s="24">
        <f>+((((D53/E53)-(J53/K53))*100)/(D53/E53))+100</f>
        <v>86.526384115340903</v>
      </c>
      <c r="M53" s="24">
        <f>+((((G53/H53)-(J53/K53))*100)/(G53/H53))+100</f>
        <v>97.749912105941632</v>
      </c>
      <c r="N53" s="27" t="s">
        <v>111</v>
      </c>
    </row>
    <row r="54" spans="1:14" s="25" customFormat="1" ht="18" hidden="1" x14ac:dyDescent="0.35">
      <c r="A54" s="22" t="s">
        <v>95</v>
      </c>
      <c r="B54" s="22" t="s">
        <v>112</v>
      </c>
      <c r="C54" s="28">
        <f>(D54/E54)*1000000</f>
        <v>114.75165872633907</v>
      </c>
      <c r="D54" s="22">
        <v>14525</v>
      </c>
      <c r="E54" s="22">
        <v>126577691</v>
      </c>
      <c r="F54" s="28">
        <f>(G54/H54)*1000000</f>
        <v>132.32284457301765</v>
      </c>
      <c r="G54" s="22">
        <v>17066</v>
      </c>
      <c r="H54" s="22">
        <v>128972439</v>
      </c>
      <c r="I54" s="28">
        <f>(J54/K54)*1000000</f>
        <v>135.30022487982876</v>
      </c>
      <c r="J54" s="39">
        <v>17450</v>
      </c>
      <c r="K54" s="24">
        <v>128972439</v>
      </c>
      <c r="L54" s="24">
        <f>(I54/C54)*100</f>
        <v>117.9069883447124</v>
      </c>
      <c r="M54" s="24">
        <f>(I54/F54)*100</f>
        <v>102.25008789405834</v>
      </c>
      <c r="N54" s="27" t="s">
        <v>111</v>
      </c>
    </row>
    <row r="55" spans="1:14" s="25" customFormat="1" ht="18" hidden="1" x14ac:dyDescent="0.35">
      <c r="A55" s="22" t="s">
        <v>95</v>
      </c>
      <c r="B55" s="22" t="s">
        <v>98</v>
      </c>
      <c r="C55" s="28">
        <f>(D55/E55)*100</f>
        <v>27.854060415849354</v>
      </c>
      <c r="D55" s="22">
        <v>119280</v>
      </c>
      <c r="E55" s="22">
        <v>428232</v>
      </c>
      <c r="F55" s="28">
        <f>(G55/H55)*100</f>
        <v>26.059520764048777</v>
      </c>
      <c r="G55" s="22">
        <v>110016</v>
      </c>
      <c r="H55" s="22">
        <v>422172</v>
      </c>
      <c r="I55" s="28">
        <f>(J55/K55)*100</f>
        <v>18.76415299925149</v>
      </c>
      <c r="J55" s="39">
        <v>79217</v>
      </c>
      <c r="K55" s="24">
        <v>422172</v>
      </c>
      <c r="L55" s="24">
        <f>(I55/C55)*100</f>
        <v>67.365952105763455</v>
      </c>
      <c r="M55" s="24">
        <f>(I55/F55)*100</f>
        <v>72.004981093659097</v>
      </c>
      <c r="N55" s="27" t="s">
        <v>99</v>
      </c>
    </row>
    <row r="56" spans="1:14" s="25" customFormat="1" ht="18" hidden="1" x14ac:dyDescent="0.35">
      <c r="A56" s="22" t="s">
        <v>95</v>
      </c>
      <c r="B56" s="22" t="s">
        <v>100</v>
      </c>
      <c r="C56" s="28">
        <f>(D56/E56)*100</f>
        <v>51.053634478506979</v>
      </c>
      <c r="D56" s="22">
        <v>218628</v>
      </c>
      <c r="E56" s="22">
        <v>428232</v>
      </c>
      <c r="F56" s="28">
        <f t="shared" ref="F56:F59" si="13">(G56/H56)*100</f>
        <v>52.167363065290928</v>
      </c>
      <c r="G56" s="22">
        <v>220236</v>
      </c>
      <c r="H56" s="22">
        <v>422172</v>
      </c>
      <c r="I56" s="28">
        <f t="shared" ref="I56:I59" si="14">(J56/K56)*100</f>
        <v>46.699212643188091</v>
      </c>
      <c r="J56" s="39">
        <v>197151</v>
      </c>
      <c r="K56" s="24">
        <v>422172</v>
      </c>
      <c r="L56" s="24">
        <f t="shared" ref="L56:L59" si="15">(I56/C56)*100</f>
        <v>91.47088766588783</v>
      </c>
      <c r="M56" s="24">
        <f t="shared" ref="M56:M59" si="16">(I56/F56)*100</f>
        <v>89.518062442107563</v>
      </c>
      <c r="N56" s="27" t="s">
        <v>99</v>
      </c>
    </row>
    <row r="57" spans="1:14" s="25" customFormat="1" ht="18" hidden="1" x14ac:dyDescent="0.35">
      <c r="A57" s="22" t="s">
        <v>95</v>
      </c>
      <c r="B57" s="22" t="s">
        <v>101</v>
      </c>
      <c r="C57" s="28">
        <f t="shared" ref="C57:C59" si="17">(D57/E57)*100</f>
        <v>13.826150311046348</v>
      </c>
      <c r="D57" s="22">
        <v>59208</v>
      </c>
      <c r="E57" s="22">
        <v>428232</v>
      </c>
      <c r="F57" s="28">
        <f t="shared" si="13"/>
        <v>14.121258633921718</v>
      </c>
      <c r="G57" s="22">
        <v>59616</v>
      </c>
      <c r="H57" s="22">
        <v>422172</v>
      </c>
      <c r="I57" s="28">
        <f t="shared" si="14"/>
        <v>13.219256606312118</v>
      </c>
      <c r="J57" s="39">
        <v>55808</v>
      </c>
      <c r="K57" s="24">
        <v>422172</v>
      </c>
      <c r="L57" s="24">
        <f t="shared" si="15"/>
        <v>95.610537343505115</v>
      </c>
      <c r="M57" s="24">
        <f t="shared" si="16"/>
        <v>93.612453032742891</v>
      </c>
      <c r="N57" s="27" t="s">
        <v>99</v>
      </c>
    </row>
    <row r="58" spans="1:14" s="25" customFormat="1" ht="18" hidden="1" x14ac:dyDescent="0.35">
      <c r="A58" s="22" t="s">
        <v>95</v>
      </c>
      <c r="B58" s="22" t="s">
        <v>102</v>
      </c>
      <c r="C58" s="28">
        <f t="shared" si="17"/>
        <v>7.6612677240374376</v>
      </c>
      <c r="D58" s="22">
        <v>32808</v>
      </c>
      <c r="E58" s="22">
        <v>428232</v>
      </c>
      <c r="F58" s="28">
        <f t="shared" si="13"/>
        <v>7.6518575367385804</v>
      </c>
      <c r="G58" s="22">
        <v>32304</v>
      </c>
      <c r="H58" s="22">
        <v>422172</v>
      </c>
      <c r="I58" s="28">
        <f t="shared" si="14"/>
        <v>7.1740901812531384</v>
      </c>
      <c r="J58" s="39">
        <v>30287</v>
      </c>
      <c r="K58" s="24">
        <v>422172</v>
      </c>
      <c r="L58" s="24">
        <f t="shared" si="15"/>
        <v>93.641032263423369</v>
      </c>
      <c r="M58" s="24">
        <f t="shared" si="16"/>
        <v>93.756191183754339</v>
      </c>
      <c r="N58" s="27" t="s">
        <v>99</v>
      </c>
    </row>
    <row r="59" spans="1:14" s="25" customFormat="1" ht="18" hidden="1" x14ac:dyDescent="0.35">
      <c r="A59" s="22" t="s">
        <v>95</v>
      </c>
      <c r="B59" s="22" t="s">
        <v>103</v>
      </c>
      <c r="C59" s="28">
        <f t="shared" si="17"/>
        <v>81.333333333333329</v>
      </c>
      <c r="D59" s="22">
        <v>6588</v>
      </c>
      <c r="E59" s="22">
        <v>8100</v>
      </c>
      <c r="F59" s="28">
        <f t="shared" si="13"/>
        <v>81.333333333333329</v>
      </c>
      <c r="G59" s="22">
        <v>6588</v>
      </c>
      <c r="H59" s="22">
        <v>8100</v>
      </c>
      <c r="I59" s="28">
        <f t="shared" si="14"/>
        <v>74.938733393525098</v>
      </c>
      <c r="J59" s="39">
        <v>5810</v>
      </c>
      <c r="K59" s="24">
        <v>7753</v>
      </c>
      <c r="L59" s="24">
        <f t="shared" si="15"/>
        <v>92.137786959252182</v>
      </c>
      <c r="M59" s="24">
        <f t="shared" si="16"/>
        <v>92.137786959252182</v>
      </c>
      <c r="N59" s="27" t="s">
        <v>104</v>
      </c>
    </row>
    <row r="60" spans="1:14" s="25" customFormat="1" ht="18" hidden="1" x14ac:dyDescent="0.35">
      <c r="A60" s="22" t="s">
        <v>95</v>
      </c>
      <c r="B60" s="22" t="s">
        <v>105</v>
      </c>
      <c r="C60" s="33">
        <v>0</v>
      </c>
      <c r="D60" s="33">
        <v>0</v>
      </c>
      <c r="E60" s="33">
        <v>0</v>
      </c>
      <c r="F60" s="28">
        <f>(G60/H60)*100</f>
        <v>38.632986627043095</v>
      </c>
      <c r="G60" s="22">
        <v>1040</v>
      </c>
      <c r="H60" s="22">
        <v>2692</v>
      </c>
      <c r="I60" s="28">
        <f>(J60/K60)*100</f>
        <v>36.483931947069941</v>
      </c>
      <c r="J60" s="39">
        <v>965</v>
      </c>
      <c r="K60" s="24">
        <v>2645</v>
      </c>
      <c r="L60" s="24">
        <v>0</v>
      </c>
      <c r="M60" s="24">
        <f>I60/F60*100</f>
        <v>94.437254616838715</v>
      </c>
      <c r="N60" s="27" t="s">
        <v>106</v>
      </c>
    </row>
    <row r="61" spans="1:14" ht="18" hidden="1" x14ac:dyDescent="0.35">
      <c r="A61" s="17" t="s">
        <v>95</v>
      </c>
      <c r="B61" s="17" t="s">
        <v>107</v>
      </c>
      <c r="C61" s="20">
        <f>((D61/E61)-1)*100</f>
        <v>7.6013870043720733</v>
      </c>
      <c r="D61" s="17">
        <v>35686</v>
      </c>
      <c r="E61" s="17">
        <v>33165</v>
      </c>
      <c r="F61" s="20">
        <f>((G61/H61)-1)*100</f>
        <v>7.6013870043720733</v>
      </c>
      <c r="G61" s="17">
        <v>35686</v>
      </c>
      <c r="H61" s="17">
        <v>33165</v>
      </c>
      <c r="I61" s="20">
        <f>((J61/K61)-1)*100</f>
        <v>5.8471760797342176</v>
      </c>
      <c r="J61" s="39">
        <v>35046</v>
      </c>
      <c r="K61" s="24">
        <v>33110</v>
      </c>
      <c r="L61" s="18">
        <f>((J61/K61)/(D61/E61))*100</f>
        <v>98.369713464226464</v>
      </c>
      <c r="M61" s="18">
        <f>((J61/K61)/(G61/H61))*100</f>
        <v>98.369713464226464</v>
      </c>
      <c r="N61" s="19" t="s">
        <v>108</v>
      </c>
    </row>
    <row r="62" spans="1:14" ht="18" hidden="1" x14ac:dyDescent="0.35">
      <c r="A62" s="17" t="s">
        <v>95</v>
      </c>
      <c r="B62" s="17" t="s">
        <v>113</v>
      </c>
      <c r="C62" s="20">
        <f>(D62/E62)*100</f>
        <v>1.800938787240157</v>
      </c>
      <c r="D62" s="17">
        <v>188</v>
      </c>
      <c r="E62" s="17">
        <v>10439</v>
      </c>
      <c r="F62" s="20">
        <f>(G62/H62)*100</f>
        <v>1.800938787240157</v>
      </c>
      <c r="G62" s="17">
        <v>188</v>
      </c>
      <c r="H62" s="17">
        <v>10439</v>
      </c>
      <c r="I62" s="20">
        <f>(J62/K62)*100</f>
        <v>5.5219072164948448</v>
      </c>
      <c r="J62" s="39">
        <v>857</v>
      </c>
      <c r="K62" s="24">
        <v>15520</v>
      </c>
      <c r="L62" s="18">
        <f>((C62-I62)*100/C62)+100</f>
        <v>-106.61270974994514</v>
      </c>
      <c r="M62" s="18">
        <f>((F62-I62)*100/F62)+100</f>
        <v>-106.61270974994514</v>
      </c>
      <c r="N62" s="19" t="s">
        <v>114</v>
      </c>
    </row>
    <row r="63" spans="1:14" ht="18" hidden="1" x14ac:dyDescent="0.35">
      <c r="A63" s="17" t="s">
        <v>95</v>
      </c>
      <c r="B63" s="17" t="s">
        <v>115</v>
      </c>
      <c r="C63" s="21">
        <f t="shared" ref="C63:C64" si="18">(D63/E63)*100</f>
        <v>100</v>
      </c>
      <c r="D63" s="17">
        <v>10439</v>
      </c>
      <c r="E63" s="17">
        <v>10439</v>
      </c>
      <c r="F63" s="17">
        <v>100</v>
      </c>
      <c r="G63" s="17">
        <v>10439</v>
      </c>
      <c r="H63" s="17">
        <v>10439</v>
      </c>
      <c r="I63" s="20">
        <f>(J63/K63)*100</f>
        <v>100</v>
      </c>
      <c r="J63" s="39">
        <v>15520</v>
      </c>
      <c r="K63" s="24">
        <v>15520</v>
      </c>
      <c r="L63" s="18">
        <f>(I63/C63)*100</f>
        <v>100</v>
      </c>
      <c r="M63" s="18">
        <f>(I63/F63)*100</f>
        <v>100</v>
      </c>
      <c r="N63" s="19" t="s">
        <v>114</v>
      </c>
    </row>
    <row r="64" spans="1:14" ht="18" hidden="1" x14ac:dyDescent="0.35">
      <c r="A64" s="17" t="s">
        <v>95</v>
      </c>
      <c r="B64" s="17" t="s">
        <v>116</v>
      </c>
      <c r="C64" s="20">
        <f t="shared" si="18"/>
        <v>100</v>
      </c>
      <c r="D64" s="20">
        <v>7224767032.2399998</v>
      </c>
      <c r="E64" s="20">
        <v>7224767032.2399998</v>
      </c>
      <c r="F64" s="20">
        <f t="shared" ref="F64" si="19">(G64/H64)*100</f>
        <v>100</v>
      </c>
      <c r="G64" s="20">
        <v>7224767032.2399998</v>
      </c>
      <c r="H64" s="20">
        <v>7224767032.2399998</v>
      </c>
      <c r="I64" s="20">
        <f t="shared" ref="I64" si="20">(J64/K64)*100</f>
        <v>99.529847669988214</v>
      </c>
      <c r="J64" s="39">
        <v>7190799621.6999998</v>
      </c>
      <c r="K64" s="24">
        <v>7224767032.2399998</v>
      </c>
      <c r="L64" s="18">
        <f>(I64/C64)*100</f>
        <v>99.529847669988214</v>
      </c>
      <c r="M64" s="18">
        <f>(I64/F64)*100</f>
        <v>99.529847669988214</v>
      </c>
      <c r="N64" s="19" t="s">
        <v>117</v>
      </c>
    </row>
    <row r="68" spans="12:13" x14ac:dyDescent="0.25">
      <c r="L68">
        <v>113.47</v>
      </c>
      <c r="M68">
        <v>102.25</v>
      </c>
    </row>
    <row r="70" spans="12:13" x14ac:dyDescent="0.25">
      <c r="L70" s="34">
        <f>+L53-L68</f>
        <v>-26.943615884659096</v>
      </c>
      <c r="M70" s="34">
        <f>+M53-M68</f>
        <v>-4.5000878940583675</v>
      </c>
    </row>
  </sheetData>
  <autoFilter ref="A1:N64" xr:uid="{3B12DF6B-C9D9-4127-B14A-A227D5B55C9D}">
    <filterColumn colId="0">
      <filters>
        <filter val="E-003 - Investigación científica, desarrollo e innovación"/>
      </filters>
    </filterColumn>
  </autoFilter>
  <pageMargins left="0.7" right="0.7" top="0.75" bottom="0.75" header="0.3" footer="0.3"/>
  <pageSetup orientation="portrait" r:id="rId1"/>
  <ignoredErrors>
    <ignoredError sqref="L37:M37 L3 L6:M7 L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3671-4988-44FB-B4B9-061072C28117}">
  <dimension ref="C1:G26"/>
  <sheetViews>
    <sheetView topLeftCell="A11" zoomScale="80" zoomScaleNormal="80" workbookViewId="0">
      <selection activeCell="C15" sqref="C15:G25"/>
    </sheetView>
  </sheetViews>
  <sheetFormatPr baseColWidth="10" defaultRowHeight="15" x14ac:dyDescent="0.25"/>
  <cols>
    <col min="3" max="3" width="44.42578125" bestFit="1" customWidth="1"/>
    <col min="4" max="4" width="21.28515625" customWidth="1"/>
    <col min="5" max="5" width="21.42578125" customWidth="1"/>
    <col min="6" max="6" width="19.85546875" customWidth="1"/>
    <col min="7" max="7" width="20.140625" customWidth="1"/>
  </cols>
  <sheetData>
    <row r="1" spans="3:7" ht="16.5" x14ac:dyDescent="0.3">
      <c r="C1" s="3"/>
      <c r="D1" s="3"/>
      <c r="E1" s="3"/>
      <c r="F1" s="3"/>
      <c r="G1" s="3"/>
    </row>
    <row r="2" spans="3:7" x14ac:dyDescent="0.25">
      <c r="C2" s="37" t="s">
        <v>140</v>
      </c>
      <c r="D2" s="37"/>
      <c r="E2" s="37"/>
      <c r="F2" s="37"/>
      <c r="G2" s="37"/>
    </row>
    <row r="3" spans="3:7" x14ac:dyDescent="0.25">
      <c r="C3" s="4"/>
      <c r="D3" s="4"/>
      <c r="E3" s="4"/>
      <c r="F3" s="4"/>
      <c r="G3" s="4"/>
    </row>
    <row r="4" spans="3:7" ht="21" customHeight="1" x14ac:dyDescent="0.25">
      <c r="C4" s="35" t="s">
        <v>130</v>
      </c>
      <c r="D4" s="36" t="s">
        <v>131</v>
      </c>
      <c r="E4" s="36"/>
      <c r="F4" s="36"/>
      <c r="G4" s="36" t="s">
        <v>132</v>
      </c>
    </row>
    <row r="5" spans="3:7" ht="40.5" customHeight="1" x14ac:dyDescent="0.25">
      <c r="C5" s="35"/>
      <c r="D5" s="14" t="s">
        <v>133</v>
      </c>
      <c r="E5" s="14" t="s">
        <v>134</v>
      </c>
      <c r="F5" s="14" t="s">
        <v>135</v>
      </c>
      <c r="G5" s="36"/>
    </row>
    <row r="6" spans="3:7" ht="27" x14ac:dyDescent="0.25">
      <c r="C6" s="8" t="s">
        <v>142</v>
      </c>
      <c r="D6" s="9">
        <v>2</v>
      </c>
      <c r="E6" s="9">
        <v>7</v>
      </c>
      <c r="F6" s="9">
        <v>4</v>
      </c>
      <c r="G6" s="9">
        <f t="shared" ref="G6:G11" si="0">SUM(D6:F6)</f>
        <v>13</v>
      </c>
    </row>
    <row r="7" spans="3:7" ht="40.5" x14ac:dyDescent="0.25">
      <c r="C7" s="10" t="s">
        <v>143</v>
      </c>
      <c r="D7" s="9"/>
      <c r="E7" s="9">
        <v>10</v>
      </c>
      <c r="F7" s="9"/>
      <c r="G7" s="9">
        <f t="shared" si="0"/>
        <v>10</v>
      </c>
    </row>
    <row r="8" spans="3:7" ht="27" x14ac:dyDescent="0.25">
      <c r="C8" s="10" t="s">
        <v>144</v>
      </c>
      <c r="D8" s="9"/>
      <c r="E8" s="9">
        <v>6</v>
      </c>
      <c r="F8" s="9"/>
      <c r="G8" s="9">
        <f t="shared" si="0"/>
        <v>6</v>
      </c>
    </row>
    <row r="9" spans="3:7" ht="27" x14ac:dyDescent="0.25">
      <c r="C9" s="10" t="s">
        <v>145</v>
      </c>
      <c r="D9" s="9"/>
      <c r="E9" s="9">
        <v>10</v>
      </c>
      <c r="F9" s="9"/>
      <c r="G9" s="9">
        <f t="shared" si="0"/>
        <v>10</v>
      </c>
    </row>
    <row r="10" spans="3:7" ht="27" x14ac:dyDescent="0.25">
      <c r="C10" s="10" t="s">
        <v>146</v>
      </c>
      <c r="D10" s="9"/>
      <c r="E10" s="9">
        <v>9</v>
      </c>
      <c r="F10" s="9"/>
      <c r="G10" s="9">
        <f t="shared" si="0"/>
        <v>9</v>
      </c>
    </row>
    <row r="11" spans="3:7" x14ac:dyDescent="0.25">
      <c r="C11" s="10" t="s">
        <v>147</v>
      </c>
      <c r="D11" s="9">
        <v>3</v>
      </c>
      <c r="E11" s="9">
        <v>12</v>
      </c>
      <c r="F11" s="9"/>
      <c r="G11" s="9">
        <f t="shared" si="0"/>
        <v>15</v>
      </c>
    </row>
    <row r="12" spans="3:7" ht="15.75" x14ac:dyDescent="0.3">
      <c r="C12" s="15" t="s">
        <v>132</v>
      </c>
      <c r="D12" s="16">
        <f>SUM(D6:D11)</f>
        <v>5</v>
      </c>
      <c r="E12" s="16">
        <f>SUM(E6:E11)</f>
        <v>54</v>
      </c>
      <c r="F12" s="16">
        <f>SUM(F6:F11)</f>
        <v>4</v>
      </c>
      <c r="G12" s="16">
        <f>SUM(G6:G11)</f>
        <v>63</v>
      </c>
    </row>
    <row r="13" spans="3:7" ht="15.75" x14ac:dyDescent="0.3">
      <c r="C13" s="6"/>
      <c r="D13" s="6"/>
      <c r="E13" s="6"/>
      <c r="F13" s="6"/>
      <c r="G13" s="6"/>
    </row>
    <row r="14" spans="3:7" ht="15.75" x14ac:dyDescent="0.3">
      <c r="C14" s="6"/>
      <c r="D14" s="6"/>
      <c r="E14" s="6"/>
      <c r="F14" s="6"/>
      <c r="G14" s="6"/>
    </row>
    <row r="15" spans="3:7" x14ac:dyDescent="0.25">
      <c r="C15" s="37" t="s">
        <v>141</v>
      </c>
      <c r="D15" s="37"/>
      <c r="E15" s="37"/>
      <c r="F15" s="37"/>
      <c r="G15" s="37"/>
    </row>
    <row r="16" spans="3:7" x14ac:dyDescent="0.25">
      <c r="C16" s="4"/>
      <c r="D16" s="4"/>
      <c r="E16" s="4"/>
      <c r="F16" s="4"/>
      <c r="G16" s="4"/>
    </row>
    <row r="17" spans="3:7" x14ac:dyDescent="0.25">
      <c r="C17" s="35" t="s">
        <v>130</v>
      </c>
      <c r="D17" s="36" t="s">
        <v>136</v>
      </c>
      <c r="E17" s="36"/>
      <c r="F17" s="36"/>
      <c r="G17" s="36" t="s">
        <v>132</v>
      </c>
    </row>
    <row r="18" spans="3:7" ht="27" x14ac:dyDescent="0.25">
      <c r="C18" s="35"/>
      <c r="D18" s="14" t="s">
        <v>137</v>
      </c>
      <c r="E18" s="14" t="s">
        <v>138</v>
      </c>
      <c r="F18" s="14" t="s">
        <v>139</v>
      </c>
      <c r="G18" s="36"/>
    </row>
    <row r="19" spans="3:7" ht="27" x14ac:dyDescent="0.25">
      <c r="C19" s="8" t="s">
        <v>142</v>
      </c>
      <c r="D19" s="11">
        <f>(D6/$G$6)</f>
        <v>0.15384615384615385</v>
      </c>
      <c r="E19" s="11">
        <f>(E6/$G$6)</f>
        <v>0.53846153846153844</v>
      </c>
      <c r="F19" s="11">
        <f t="shared" ref="F19" si="1">(F6/$G$6)</f>
        <v>0.30769230769230771</v>
      </c>
      <c r="G19" s="11">
        <f>SUM(D19:F19)</f>
        <v>1</v>
      </c>
    </row>
    <row r="20" spans="3:7" ht="40.5" x14ac:dyDescent="0.25">
      <c r="C20" s="10" t="s">
        <v>143</v>
      </c>
      <c r="D20" s="11"/>
      <c r="E20" s="11">
        <f>(E7/$G$7)</f>
        <v>1</v>
      </c>
      <c r="F20" s="11"/>
      <c r="G20" s="11">
        <f>SUM(D20:F20)</f>
        <v>1</v>
      </c>
    </row>
    <row r="21" spans="3:7" ht="27" x14ac:dyDescent="0.25">
      <c r="C21" s="10" t="s">
        <v>144</v>
      </c>
      <c r="D21" s="11"/>
      <c r="E21" s="11">
        <f>(E8/$G$8)</f>
        <v>1</v>
      </c>
      <c r="F21" s="11"/>
      <c r="G21" s="11">
        <f t="shared" ref="G21:G24" si="2">SUM(D21:F21)</f>
        <v>1</v>
      </c>
    </row>
    <row r="22" spans="3:7" ht="27" x14ac:dyDescent="0.25">
      <c r="C22" s="10" t="s">
        <v>145</v>
      </c>
      <c r="D22" s="11"/>
      <c r="E22" s="11">
        <f>(E9/$G$9)</f>
        <v>1</v>
      </c>
      <c r="F22" s="11"/>
      <c r="G22" s="11">
        <f t="shared" si="2"/>
        <v>1</v>
      </c>
    </row>
    <row r="23" spans="3:7" ht="27" x14ac:dyDescent="0.25">
      <c r="C23" s="10" t="s">
        <v>146</v>
      </c>
      <c r="D23" s="11"/>
      <c r="E23" s="11">
        <v>1</v>
      </c>
      <c r="F23" s="11"/>
      <c r="G23" s="11">
        <f t="shared" si="2"/>
        <v>1</v>
      </c>
    </row>
    <row r="24" spans="3:7" x14ac:dyDescent="0.25">
      <c r="C24" s="10" t="s">
        <v>147</v>
      </c>
      <c r="D24" s="11">
        <f>D11/G11</f>
        <v>0.2</v>
      </c>
      <c r="E24" s="11">
        <f>E11/G11</f>
        <v>0.8</v>
      </c>
      <c r="F24" s="11"/>
      <c r="G24" s="11">
        <f t="shared" si="2"/>
        <v>1</v>
      </c>
    </row>
    <row r="25" spans="3:7" x14ac:dyDescent="0.25">
      <c r="C25" s="12" t="s">
        <v>132</v>
      </c>
      <c r="D25" s="13">
        <f>+(D12/G12)</f>
        <v>7.9365079365079361E-2</v>
      </c>
      <c r="E25" s="13">
        <f>+(E12/G12)</f>
        <v>0.8571428571428571</v>
      </c>
      <c r="F25" s="13">
        <f>+(F12/G12)</f>
        <v>6.3492063492063489E-2</v>
      </c>
      <c r="G25" s="13">
        <f>SUM(D25:F25)</f>
        <v>1</v>
      </c>
    </row>
    <row r="26" spans="3:7" ht="15.75" x14ac:dyDescent="0.3">
      <c r="C26" s="5"/>
      <c r="D26" s="7"/>
      <c r="E26" s="7"/>
      <c r="F26" s="7"/>
      <c r="G26" s="7"/>
    </row>
  </sheetData>
  <mergeCells count="8">
    <mergeCell ref="C17:C18"/>
    <mergeCell ref="D17:F17"/>
    <mergeCell ref="G17:G18"/>
    <mergeCell ref="C2:G2"/>
    <mergeCell ref="C4:C5"/>
    <mergeCell ref="D4:F4"/>
    <mergeCell ref="G4:G5"/>
    <mergeCell ref="C15:G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dc:creator>
  <cp:lastModifiedBy>Usuario</cp:lastModifiedBy>
  <dcterms:created xsi:type="dcterms:W3CDTF">2022-01-19T18:11:05Z</dcterms:created>
  <dcterms:modified xsi:type="dcterms:W3CDTF">2022-08-29T13:28:38Z</dcterms:modified>
</cp:coreProperties>
</file>